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21" yWindow="40" windowWidth="12009" windowHeight="13858" activeTab="0"/>
  </bookViews>
  <sheets>
    <sheet name="VGAMaster" sheetId="1" r:id="rId1"/>
    <sheet name="FAQ" sheetId="2" r:id="rId2"/>
    <sheet name="版本與更新" sheetId="3" r:id="rId3"/>
    <sheet name="智慧財產權聲明" sheetId="4" r:id="rId4"/>
    <sheet name="FoldingCostTW" sheetId="5" r:id="rId5"/>
    <sheet name="FoldingCostCN" sheetId="6" r:id="rId6"/>
  </sheets>
  <definedNames>
    <definedName name="_xlnm._FilterDatabase" localSheetId="5" hidden="1">'FoldingCostCN'!$A$1:$V$27</definedName>
    <definedName name="_xlnm._FilterDatabase" localSheetId="4" hidden="1">'FoldingCostTW'!$A$1:$V$25</definedName>
    <definedName name="_xlnm._FilterDatabase" localSheetId="0" hidden="1">'VGAMaster'!$A$2:$BP$151</definedName>
  </definedNames>
  <calcPr fullCalcOnLoad="1"/>
</workbook>
</file>

<file path=xl/comments1.xml><?xml version="1.0" encoding="utf-8"?>
<comments xmlns="http://schemas.openxmlformats.org/spreadsheetml/2006/main">
  <authors>
    <author>et</author>
    <author>Extreme Techinist</author>
  </authors>
  <commentList>
    <comment ref="F52" authorId="0">
      <text>
        <r>
          <rPr>
            <sz val="9"/>
            <rFont val="新細明體"/>
            <family val="1"/>
          </rPr>
          <t>HT 3.0</t>
        </r>
      </text>
    </comment>
    <comment ref="F72" authorId="0">
      <text>
        <r>
          <rPr>
            <sz val="9"/>
            <rFont val="新細明體"/>
            <family val="1"/>
          </rPr>
          <t>HT 2.0</t>
        </r>
      </text>
    </comment>
    <comment ref="F120" authorId="0">
      <text>
        <r>
          <rPr>
            <sz val="9"/>
            <rFont val="新細明體"/>
            <family val="1"/>
          </rPr>
          <t>HT 3.0</t>
        </r>
      </text>
    </comment>
    <comment ref="F139" authorId="0">
      <text>
        <r>
          <rPr>
            <sz val="9"/>
            <rFont val="新細明體"/>
            <family val="1"/>
          </rPr>
          <t>系統記憶體</t>
        </r>
      </text>
    </comment>
    <comment ref="F140" authorId="0">
      <text>
        <r>
          <rPr>
            <sz val="9"/>
            <rFont val="新細明體"/>
            <family val="1"/>
          </rPr>
          <t>系統記憶體</t>
        </r>
      </text>
    </comment>
    <comment ref="F141" authorId="0">
      <text>
        <r>
          <rPr>
            <sz val="9"/>
            <rFont val="新細明體"/>
            <family val="1"/>
          </rPr>
          <t>系統記憶體</t>
        </r>
      </text>
    </comment>
    <comment ref="F142" authorId="0">
      <text>
        <r>
          <rPr>
            <sz val="9"/>
            <rFont val="新細明體"/>
            <family val="1"/>
          </rPr>
          <t>系統記憶體</t>
        </r>
      </text>
    </comment>
    <comment ref="J2" authorId="0">
      <text>
        <r>
          <rPr>
            <sz val="9"/>
            <rFont val="新細明體"/>
            <family val="1"/>
          </rPr>
          <t>TMUs</t>
        </r>
      </text>
    </comment>
    <comment ref="K2" authorId="0">
      <text>
        <r>
          <rPr>
            <sz val="9"/>
            <rFont val="新細明體"/>
            <family val="1"/>
          </rPr>
          <t>ROPs</t>
        </r>
      </text>
    </comment>
    <comment ref="I2" authorId="1">
      <text>
        <r>
          <rPr>
            <sz val="9"/>
            <rFont val="新細明體"/>
            <family val="1"/>
          </rPr>
          <t xml:space="preserve">TAUs
</t>
        </r>
      </text>
    </comment>
    <comment ref="F134" authorId="0">
      <text>
        <r>
          <rPr>
            <sz val="9"/>
            <rFont val="新細明體"/>
            <family val="1"/>
          </rPr>
          <t>市面上有很多GDDR3版的
有這種卡請自己把超頻的時脈加上去</t>
        </r>
      </text>
    </comment>
    <comment ref="F48" authorId="0">
      <text>
        <r>
          <rPr>
            <sz val="9"/>
            <rFont val="新細明體"/>
            <family val="1"/>
          </rPr>
          <t>HT 3.0</t>
        </r>
      </text>
    </comment>
    <comment ref="F51" authorId="0">
      <text>
        <r>
          <rPr>
            <sz val="9"/>
            <rFont val="新細明體"/>
            <family val="1"/>
          </rPr>
          <t>HT 3.0</t>
        </r>
      </text>
    </comment>
    <comment ref="B51" authorId="0">
      <text>
        <r>
          <rPr>
            <b/>
            <sz val="9"/>
            <rFont val="新細明體"/>
            <family val="1"/>
          </rPr>
          <t>DDR3 1333Mhz</t>
        </r>
      </text>
    </comment>
    <comment ref="B48" authorId="0">
      <text>
        <r>
          <rPr>
            <b/>
            <sz val="9"/>
            <rFont val="新細明體"/>
            <family val="1"/>
          </rPr>
          <t>DDR3 1333Mhz</t>
        </r>
      </text>
    </comment>
    <comment ref="Q2" authorId="1">
      <text>
        <r>
          <rPr>
            <b/>
            <sz val="9"/>
            <rFont val="新細明體"/>
            <family val="1"/>
          </rPr>
          <t>Folding@home GPU2 
PPD</t>
        </r>
      </text>
    </comment>
    <comment ref="F118" authorId="0">
      <text>
        <r>
          <rPr>
            <b/>
            <sz val="9"/>
            <rFont val="新細明體"/>
            <family val="1"/>
          </rPr>
          <t>系統記憶體</t>
        </r>
      </text>
    </comment>
    <comment ref="Q128" authorId="0">
      <text>
        <r>
          <rPr>
            <b/>
            <sz val="9"/>
            <rFont val="新細明體"/>
            <family val="1"/>
          </rPr>
          <t>此為PS3 Cell的運算量</t>
        </r>
      </text>
    </comment>
    <comment ref="H139" authorId="0">
      <text>
        <r>
          <rPr>
            <b/>
            <sz val="9"/>
            <rFont val="新細明體"/>
            <family val="1"/>
          </rPr>
          <t>單通道</t>
        </r>
        <r>
          <rPr>
            <sz val="9"/>
            <rFont val="新細明體"/>
            <family val="1"/>
          </rPr>
          <t xml:space="preserve">
</t>
        </r>
      </text>
    </comment>
    <comment ref="H117" authorId="0">
      <text>
        <r>
          <rPr>
            <b/>
            <sz val="9"/>
            <rFont val="新細明體"/>
            <family val="1"/>
          </rPr>
          <t>雙通道</t>
        </r>
      </text>
    </comment>
    <comment ref="H140" authorId="0">
      <text>
        <r>
          <rPr>
            <b/>
            <sz val="9"/>
            <rFont val="新細明體"/>
            <family val="1"/>
          </rPr>
          <t>單通道</t>
        </r>
        <r>
          <rPr>
            <sz val="9"/>
            <rFont val="新細明體"/>
            <family val="1"/>
          </rPr>
          <t xml:space="preserve">
</t>
        </r>
      </text>
    </comment>
    <comment ref="H141" authorId="0">
      <text>
        <r>
          <rPr>
            <b/>
            <sz val="9"/>
            <rFont val="新細明體"/>
            <family val="1"/>
          </rPr>
          <t>單通道</t>
        </r>
        <r>
          <rPr>
            <sz val="9"/>
            <rFont val="新細明體"/>
            <family val="1"/>
          </rPr>
          <t xml:space="preserve">
</t>
        </r>
      </text>
    </comment>
    <comment ref="H142" authorId="0">
      <text>
        <r>
          <rPr>
            <b/>
            <sz val="9"/>
            <rFont val="新細明體"/>
            <family val="1"/>
          </rPr>
          <t>單通道</t>
        </r>
        <r>
          <rPr>
            <sz val="9"/>
            <rFont val="新細明體"/>
            <family val="1"/>
          </rPr>
          <t xml:space="preserve">
</t>
        </r>
      </text>
    </comment>
    <comment ref="H118" authorId="0">
      <text>
        <r>
          <rPr>
            <b/>
            <sz val="9"/>
            <rFont val="新細明體"/>
            <family val="1"/>
          </rPr>
          <t>雙通道</t>
        </r>
      </text>
    </comment>
    <comment ref="F119" authorId="0">
      <text>
        <r>
          <rPr>
            <sz val="9"/>
            <rFont val="新細明體"/>
            <family val="1"/>
          </rPr>
          <t>HT 3.0</t>
        </r>
      </text>
    </comment>
    <comment ref="F117" authorId="0">
      <text>
        <r>
          <rPr>
            <b/>
            <sz val="9"/>
            <rFont val="新細明體"/>
            <family val="1"/>
          </rPr>
          <t>系統記憶體</t>
        </r>
      </text>
    </comment>
    <comment ref="B49" authorId="0">
      <text>
        <r>
          <rPr>
            <b/>
            <sz val="9"/>
            <rFont val="新細明體"/>
            <family val="1"/>
          </rPr>
          <t>DDR3 1333Mhz</t>
        </r>
      </text>
    </comment>
    <comment ref="F49" authorId="0">
      <text>
        <r>
          <rPr>
            <sz val="9"/>
            <rFont val="新細明體"/>
            <family val="1"/>
          </rPr>
          <t>HT 3.0</t>
        </r>
      </text>
    </comment>
    <comment ref="F50" authorId="0">
      <text>
        <r>
          <rPr>
            <sz val="9"/>
            <rFont val="新細明體"/>
            <family val="1"/>
          </rPr>
          <t>HT 3.0</t>
        </r>
      </text>
    </comment>
    <comment ref="F29" authorId="0">
      <text>
        <r>
          <rPr>
            <sz val="9"/>
            <rFont val="新細明體"/>
            <family val="1"/>
          </rPr>
          <t>HT 3.0</t>
        </r>
      </text>
    </comment>
    <comment ref="B29" authorId="1">
      <text>
        <r>
          <rPr>
            <b/>
            <sz val="9"/>
            <rFont val="新細明體"/>
            <family val="1"/>
          </rPr>
          <t>DDRIII 1600Mhz</t>
        </r>
      </text>
    </comment>
    <comment ref="B30" authorId="1">
      <text>
        <r>
          <rPr>
            <b/>
            <sz val="9"/>
            <rFont val="新細明體"/>
            <family val="1"/>
          </rPr>
          <t>DDRIII 1600Mhz</t>
        </r>
      </text>
    </comment>
    <comment ref="F30" authorId="0">
      <text>
        <r>
          <rPr>
            <sz val="9"/>
            <rFont val="新細明體"/>
            <family val="1"/>
          </rPr>
          <t>HT 3.0</t>
        </r>
      </text>
    </comment>
    <comment ref="R2" authorId="1">
      <text>
        <r>
          <rPr>
            <b/>
            <sz val="9"/>
            <rFont val="新細明體"/>
            <family val="1"/>
          </rPr>
          <t>Folding@home GPU3
PPD</t>
        </r>
      </text>
    </comment>
  </commentList>
</comments>
</file>

<file path=xl/comments5.xml><?xml version="1.0" encoding="utf-8"?>
<comments xmlns="http://schemas.openxmlformats.org/spreadsheetml/2006/main">
  <authors>
    <author>Extreme Techinist</author>
  </authors>
  <commentList>
    <comment ref="G1" authorId="0">
      <text>
        <r>
          <rPr>
            <b/>
            <sz val="9"/>
            <rFont val="新細明體"/>
            <family val="1"/>
          </rPr>
          <t>8
0%負载計算</t>
        </r>
      </text>
    </comment>
    <comment ref="H1" authorId="0">
      <text>
        <r>
          <rPr>
            <b/>
            <sz val="9"/>
            <rFont val="新細明體"/>
            <family val="1"/>
          </rPr>
          <t>排除顯示卡</t>
        </r>
      </text>
    </comment>
    <comment ref="I1" authorId="0">
      <text>
        <r>
          <rPr>
            <b/>
            <sz val="9"/>
            <rFont val="新細明體"/>
            <family val="1"/>
          </rPr>
          <t>排除顯示卡</t>
        </r>
      </text>
    </comment>
    <comment ref="R1" authorId="0">
      <text>
        <r>
          <rPr>
            <sz val="9"/>
            <rFont val="新細明體"/>
            <family val="1"/>
          </rPr>
          <t xml:space="preserve">年產分/顯示卡售價
</t>
        </r>
      </text>
    </comment>
    <comment ref="T1" authorId="0">
      <text>
        <r>
          <rPr>
            <b/>
            <sz val="9"/>
            <rFont val="新細明體"/>
            <family val="1"/>
          </rPr>
          <t>僅計算顯示卡部分用電,以一年為基準</t>
        </r>
        <r>
          <rPr>
            <sz val="9"/>
            <rFont val="新細明體"/>
            <family val="1"/>
          </rPr>
          <t xml:space="preserve">
</t>
        </r>
      </text>
    </comment>
    <comment ref="G3" authorId="0">
      <text>
        <r>
          <rPr>
            <b/>
            <sz val="9"/>
            <rFont val="新細明體"/>
            <family val="1"/>
          </rPr>
          <t>包含供電元件與記憶體的功耗</t>
        </r>
      </text>
    </comment>
  </commentList>
</comments>
</file>

<file path=xl/comments6.xml><?xml version="1.0" encoding="utf-8"?>
<comments xmlns="http://schemas.openxmlformats.org/spreadsheetml/2006/main">
  <authors>
    <author>Extreme Techinist</author>
  </authors>
  <commentList>
    <comment ref="G1" authorId="0">
      <text>
        <r>
          <rPr>
            <b/>
            <sz val="9"/>
            <rFont val="新細明體"/>
            <family val="1"/>
          </rPr>
          <t>8
0%負载計算</t>
        </r>
      </text>
    </comment>
    <comment ref="H1" authorId="0">
      <text>
        <r>
          <rPr>
            <b/>
            <sz val="9"/>
            <rFont val="新細明體"/>
            <family val="1"/>
          </rPr>
          <t>排除顯示卡</t>
        </r>
      </text>
    </comment>
    <comment ref="I1" authorId="0">
      <text>
        <r>
          <rPr>
            <b/>
            <sz val="9"/>
            <rFont val="新細明體"/>
            <family val="1"/>
          </rPr>
          <t>排除顯示卡</t>
        </r>
      </text>
    </comment>
    <comment ref="R1" authorId="0">
      <text>
        <r>
          <rPr>
            <sz val="9"/>
            <rFont val="新細明體"/>
            <family val="1"/>
          </rPr>
          <t xml:space="preserve">年產分/顯示卡售價
</t>
        </r>
      </text>
    </comment>
    <comment ref="T1" authorId="0">
      <text>
        <r>
          <rPr>
            <b/>
            <sz val="9"/>
            <rFont val="新細明體"/>
            <family val="1"/>
          </rPr>
          <t>僅計算顯示卡部分用電,以一年為基準</t>
        </r>
        <r>
          <rPr>
            <sz val="9"/>
            <rFont val="新細明體"/>
            <family val="1"/>
          </rPr>
          <t xml:space="preserve">
</t>
        </r>
      </text>
    </comment>
    <comment ref="G3" authorId="0">
      <text>
        <r>
          <rPr>
            <b/>
            <sz val="9"/>
            <rFont val="新細明體"/>
            <family val="1"/>
          </rPr>
          <t>包含供電元件與記憶體的功耗</t>
        </r>
      </text>
    </comment>
  </commentList>
</comments>
</file>

<file path=xl/sharedStrings.xml><?xml version="1.0" encoding="utf-8"?>
<sst xmlns="http://schemas.openxmlformats.org/spreadsheetml/2006/main" count="2022" uniqueCount="632">
  <si>
    <r>
      <t>0905</t>
    </r>
    <r>
      <rPr>
        <sz val="12"/>
        <rFont val="細明體"/>
        <family val="3"/>
      </rPr>
      <t>更新</t>
    </r>
  </si>
  <si>
    <r>
      <t>1.</t>
    </r>
    <r>
      <rPr>
        <sz val="12"/>
        <rFont val="細明體"/>
        <family val="3"/>
      </rPr>
      <t>修正</t>
    </r>
    <r>
      <rPr>
        <sz val="12"/>
        <rFont val="Arial"/>
        <family val="2"/>
      </rPr>
      <t>HD4800</t>
    </r>
    <r>
      <rPr>
        <sz val="12"/>
        <rFont val="細明體"/>
        <family val="3"/>
      </rPr>
      <t>系列的電晶體數量與</t>
    </r>
    <r>
      <rPr>
        <sz val="12"/>
        <rFont val="Arial"/>
        <family val="2"/>
      </rPr>
      <t>HD4890</t>
    </r>
    <r>
      <rPr>
        <sz val="12"/>
        <rFont val="細明體"/>
        <family val="3"/>
      </rPr>
      <t>的晶片片面積</t>
    </r>
  </si>
  <si>
    <r>
      <t>2.</t>
    </r>
    <r>
      <rPr>
        <sz val="12"/>
        <rFont val="細明體"/>
        <family val="3"/>
      </rPr>
      <t>增加</t>
    </r>
    <r>
      <rPr>
        <sz val="12"/>
        <rFont val="Arial"/>
        <family val="2"/>
      </rPr>
      <t>HD4770</t>
    </r>
    <r>
      <rPr>
        <sz val="12"/>
        <rFont val="細明體"/>
        <family val="3"/>
      </rPr>
      <t>的資訊</t>
    </r>
  </si>
  <si>
    <r>
      <t>3.</t>
    </r>
    <r>
      <rPr>
        <sz val="12"/>
        <rFont val="細明體"/>
        <family val="3"/>
      </rPr>
      <t>調整記憶體種類的影響幅度</t>
    </r>
  </si>
  <si>
    <r>
      <t>4.</t>
    </r>
    <r>
      <rPr>
        <sz val="12"/>
        <rFont val="細明體"/>
        <family val="3"/>
      </rPr>
      <t>補上</t>
    </r>
    <r>
      <rPr>
        <sz val="12"/>
        <rFont val="Arial"/>
        <family val="2"/>
      </rPr>
      <t>9600GT/9800G</t>
    </r>
    <r>
      <rPr>
        <sz val="12"/>
        <rFont val="細明體"/>
        <family val="3"/>
      </rPr>
      <t>綠色版</t>
    </r>
    <r>
      <rPr>
        <sz val="12"/>
        <rFont val="Arial"/>
        <family val="2"/>
      </rPr>
      <t>,GTX275,HD4890</t>
    </r>
    <r>
      <rPr>
        <sz val="12"/>
        <rFont val="細明體"/>
        <family val="3"/>
      </rPr>
      <t>的功耗資訊</t>
    </r>
  </si>
  <si>
    <r>
      <t>5.Folding@Home PPD</t>
    </r>
    <r>
      <rPr>
        <sz val="12"/>
        <rFont val="細明體"/>
        <family val="3"/>
      </rPr>
      <t>調整</t>
    </r>
    <r>
      <rPr>
        <sz val="12"/>
        <rFont val="Arial"/>
        <family val="2"/>
      </rPr>
      <t>WU</t>
    </r>
    <r>
      <rPr>
        <sz val="12"/>
        <rFont val="細明體"/>
        <family val="3"/>
      </rPr>
      <t>的出現率</t>
    </r>
    <r>
      <rPr>
        <sz val="12"/>
        <rFont val="Arial"/>
        <family val="2"/>
      </rPr>
      <t>:</t>
    </r>
  </si>
  <si>
    <r>
      <t>A</t>
    </r>
    <r>
      <rPr>
        <sz val="12"/>
        <rFont val="新細明體"/>
        <family val="1"/>
      </rPr>
      <t>卡</t>
    </r>
    <r>
      <rPr>
        <sz val="12"/>
        <rFont val="Arial"/>
        <family val="2"/>
      </rPr>
      <t>: 511</t>
    </r>
    <r>
      <rPr>
        <sz val="12"/>
        <rFont val="新細明體"/>
        <family val="1"/>
      </rPr>
      <t>佔</t>
    </r>
    <r>
      <rPr>
        <sz val="12"/>
        <rFont val="Arial"/>
        <family val="2"/>
      </rPr>
      <t>36.4% 384</t>
    </r>
    <r>
      <rPr>
        <sz val="12"/>
        <rFont val="新細明體"/>
        <family val="1"/>
      </rPr>
      <t>佔</t>
    </r>
    <r>
      <rPr>
        <sz val="12"/>
        <rFont val="Arial"/>
        <family val="2"/>
      </rPr>
      <t>27.3% 234</t>
    </r>
    <r>
      <rPr>
        <sz val="12"/>
        <rFont val="新細明體"/>
        <family val="1"/>
      </rPr>
      <t>佔</t>
    </r>
    <r>
      <rPr>
        <sz val="12"/>
        <rFont val="Arial"/>
        <family val="2"/>
      </rPr>
      <t>10% 477</t>
    </r>
    <r>
      <rPr>
        <sz val="12"/>
        <rFont val="新細明體"/>
        <family val="1"/>
      </rPr>
      <t>佔</t>
    </r>
    <r>
      <rPr>
        <sz val="12"/>
        <rFont val="Arial"/>
        <family val="2"/>
      </rPr>
      <t>36.4%</t>
    </r>
  </si>
  <si>
    <r>
      <t>N</t>
    </r>
    <r>
      <rPr>
        <sz val="12"/>
        <rFont val="新細明體"/>
        <family val="1"/>
      </rPr>
      <t>卡</t>
    </r>
    <r>
      <rPr>
        <sz val="12"/>
        <rFont val="Arial"/>
        <family val="2"/>
      </rPr>
      <t>: 768</t>
    </r>
    <r>
      <rPr>
        <sz val="12"/>
        <rFont val="新細明體"/>
        <family val="1"/>
      </rPr>
      <t>佔</t>
    </r>
    <r>
      <rPr>
        <sz val="12"/>
        <rFont val="Arial"/>
        <family val="2"/>
      </rPr>
      <t>3% 384</t>
    </r>
    <r>
      <rPr>
        <sz val="12"/>
        <rFont val="新細明體"/>
        <family val="1"/>
      </rPr>
      <t>佔</t>
    </r>
    <r>
      <rPr>
        <sz val="12"/>
        <rFont val="Arial"/>
        <family val="2"/>
      </rPr>
      <t>64.2% 472</t>
    </r>
    <r>
      <rPr>
        <sz val="12"/>
        <rFont val="新細明體"/>
        <family val="1"/>
      </rPr>
      <t>佔</t>
    </r>
    <r>
      <rPr>
        <sz val="12"/>
        <rFont val="Arial"/>
        <family val="2"/>
      </rPr>
      <t>3% 1888</t>
    </r>
    <r>
      <rPr>
        <sz val="12"/>
        <rFont val="新細明體"/>
        <family val="1"/>
      </rPr>
      <t>佔</t>
    </r>
    <r>
      <rPr>
        <sz val="12"/>
        <rFont val="Arial"/>
        <family val="2"/>
      </rPr>
      <t>7.5% 353</t>
    </r>
    <r>
      <rPr>
        <sz val="12"/>
        <rFont val="新細明體"/>
        <family val="1"/>
      </rPr>
      <t>佔</t>
    </r>
    <r>
      <rPr>
        <sz val="12"/>
        <rFont val="Arial"/>
        <family val="2"/>
      </rPr>
      <t>22.4% 511</t>
    </r>
    <r>
      <rPr>
        <sz val="12"/>
        <rFont val="新細明體"/>
        <family val="1"/>
      </rPr>
      <t>佔</t>
    </r>
    <r>
      <rPr>
        <sz val="12"/>
        <rFont val="Arial"/>
        <family val="2"/>
      </rPr>
      <t>13.4%</t>
    </r>
  </si>
  <si>
    <r>
      <t>6.</t>
    </r>
    <r>
      <rPr>
        <sz val="12"/>
        <rFont val="細明體"/>
        <family val="3"/>
      </rPr>
      <t>調整</t>
    </r>
    <r>
      <rPr>
        <sz val="12"/>
        <rFont val="Arial"/>
        <family val="2"/>
      </rPr>
      <t>F@H</t>
    </r>
    <r>
      <rPr>
        <sz val="12"/>
        <rFont val="細明體"/>
        <family val="3"/>
      </rPr>
      <t>功耗</t>
    </r>
  </si>
  <si>
    <t>晶片面積</t>
  </si>
  <si>
    <t>外接電源</t>
  </si>
  <si>
    <t>通常長度</t>
  </si>
  <si>
    <t>DirectX</t>
  </si>
  <si>
    <t>使用記憶體</t>
  </si>
  <si>
    <t>註解</t>
  </si>
  <si>
    <t>效能相關</t>
  </si>
  <si>
    <t>環境相關</t>
  </si>
  <si>
    <t>成本相關</t>
  </si>
  <si>
    <t>Nvidia</t>
  </si>
  <si>
    <t>顯示卡</t>
  </si>
  <si>
    <t>記憶體介面</t>
  </si>
  <si>
    <t>unified</t>
  </si>
  <si>
    <t>Geforce 7600GS</t>
  </si>
  <si>
    <t>1Slot</t>
  </si>
  <si>
    <t>Geforce 6800Ultra</t>
  </si>
  <si>
    <t>4.1</t>
  </si>
  <si>
    <t>可以忽略</t>
  </si>
  <si>
    <t>none</t>
  </si>
  <si>
    <t>N/A</t>
  </si>
  <si>
    <t>6P+8P</t>
  </si>
  <si>
    <t>4.0</t>
  </si>
  <si>
    <t>Radeon X1900XTX</t>
  </si>
  <si>
    <t>Geforce GTX 260</t>
  </si>
  <si>
    <t>Geforce GTX 280</t>
  </si>
  <si>
    <t>Radeon HD4850</t>
  </si>
  <si>
    <t>Radeon HD4670</t>
  </si>
  <si>
    <t>Geforce 9800GTX+</t>
  </si>
  <si>
    <t>PCIE 2.0</t>
  </si>
  <si>
    <t>6P+6P</t>
  </si>
  <si>
    <t>向側</t>
  </si>
  <si>
    <t>2Slot</t>
  </si>
  <si>
    <t>向前</t>
  </si>
  <si>
    <t>6P</t>
  </si>
  <si>
    <t>AMD</t>
  </si>
  <si>
    <t>780G</t>
  </si>
  <si>
    <t>780G With sideport VRAM</t>
  </si>
  <si>
    <t>待機功耗</t>
  </si>
  <si>
    <t>?</t>
  </si>
  <si>
    <t>Geforce 8300 IGP</t>
  </si>
  <si>
    <t>Geforce 9800GT hybrid power</t>
  </si>
  <si>
    <t>Radeon HD4850X2</t>
  </si>
  <si>
    <t>Geforce 8800Ultra</t>
  </si>
  <si>
    <t>Radeon HD3730</t>
  </si>
  <si>
    <t>最大功耗</t>
  </si>
  <si>
    <t>Radeon HD2900GT</t>
  </si>
  <si>
    <t>PCIE</t>
  </si>
  <si>
    <t>690G</t>
  </si>
  <si>
    <t>Radeon HD4550</t>
  </si>
  <si>
    <t>Radeon HD4830</t>
  </si>
  <si>
    <t>Geforce 8800GT</t>
  </si>
  <si>
    <t>Geforce GTX 260 Core216</t>
  </si>
  <si>
    <t>790GX With sideport VRAM</t>
  </si>
  <si>
    <t>Geforce 9600GSO 512</t>
  </si>
  <si>
    <t>Geforce 9600GSO 384</t>
  </si>
  <si>
    <t>ROPa</t>
  </si>
  <si>
    <t>SHD</t>
  </si>
  <si>
    <t>BW</t>
  </si>
  <si>
    <t>A</t>
  </si>
  <si>
    <t>B</t>
  </si>
  <si>
    <t>C</t>
  </si>
  <si>
    <t>Geforce 8800GS</t>
  </si>
  <si>
    <t>序號</t>
  </si>
  <si>
    <t>D</t>
  </si>
  <si>
    <t>E</t>
  </si>
  <si>
    <t>hide</t>
  </si>
  <si>
    <t>製程</t>
  </si>
  <si>
    <t>Geforce GTX 295</t>
  </si>
  <si>
    <t>60W</t>
  </si>
  <si>
    <t>卡</t>
  </si>
  <si>
    <t>實際容量</t>
  </si>
  <si>
    <t>PPD</t>
  </si>
  <si>
    <t>顯示卡數量</t>
  </si>
  <si>
    <t>顯示卡價格</t>
  </si>
  <si>
    <t>顯示卡功耗</t>
  </si>
  <si>
    <t>系統建構成本</t>
  </si>
  <si>
    <t>系統待機功耗</t>
  </si>
  <si>
    <t>系統實際功耗</t>
  </si>
  <si>
    <t>電源轉換效率</t>
  </si>
  <si>
    <t>交流實際功耗</t>
  </si>
  <si>
    <t>總PPD</t>
  </si>
  <si>
    <t>系統建構總成本</t>
  </si>
  <si>
    <t>一年分數</t>
  </si>
  <si>
    <t>一年電費</t>
  </si>
  <si>
    <t>運行年數</t>
  </si>
  <si>
    <t>PPY/
顯示卡售價</t>
  </si>
  <si>
    <t>PPD/顯示卡功耗</t>
  </si>
  <si>
    <t>PPY/顯示卡售價+年電費</t>
  </si>
  <si>
    <t>N年總花費</t>
  </si>
  <si>
    <t>N年分數/NT</t>
  </si>
  <si>
    <t>電費每度</t>
  </si>
  <si>
    <t>Geforce 9400GT</t>
  </si>
  <si>
    <t>Geforce 9500GT</t>
  </si>
  <si>
    <t>Geforce 9600GT</t>
  </si>
  <si>
    <t>Geforce 9800GT</t>
  </si>
  <si>
    <t>Geforce GTX 260 55nm</t>
  </si>
  <si>
    <t>Geforce GTX 285</t>
  </si>
  <si>
    <t>NT</t>
  </si>
  <si>
    <t>1年運轉360天,假設有5.25天Seerver停機</t>
  </si>
  <si>
    <t>Cell in PS3</t>
  </si>
  <si>
    <t>Geforce 9600GT Green Edition</t>
  </si>
  <si>
    <t>Create1</t>
  </si>
  <si>
    <t>Create2</t>
  </si>
  <si>
    <t>Create3</t>
  </si>
  <si>
    <t>Create4</t>
  </si>
  <si>
    <t>C1 Ratio</t>
  </si>
  <si>
    <t>C2 Ratio</t>
  </si>
  <si>
    <t>C3 Ratio</t>
  </si>
  <si>
    <t>C4 Ratio</t>
  </si>
  <si>
    <t>Create5</t>
  </si>
  <si>
    <t>Create6</t>
  </si>
  <si>
    <t>Create7</t>
  </si>
  <si>
    <t>C5 Ratio</t>
  </si>
  <si>
    <t>C6 Ratio</t>
  </si>
  <si>
    <t>C7 Ratio</t>
  </si>
  <si>
    <t>AVG PPD</t>
  </si>
  <si>
    <t>Create8</t>
  </si>
  <si>
    <t>C8 Ratio</t>
  </si>
  <si>
    <t>下次我會再增加一些有用的資料與補充說明</t>
  </si>
  <si>
    <t>超級大更新</t>
  </si>
  <si>
    <t>至於算式準確度見仁見智</t>
  </si>
  <si>
    <t>套淡藍色代表強力推薦</t>
  </si>
  <si>
    <t>套更淡的藍色代表還算堆薦</t>
  </si>
  <si>
    <t>套黃色代表常見</t>
  </si>
  <si>
    <t>套紅色代表不好找</t>
  </si>
  <si>
    <t>套黑色代表台灣未上市</t>
  </si>
  <si>
    <t>套白色代表過時產品</t>
  </si>
  <si>
    <t>修正以下的效能數據</t>
  </si>
  <si>
    <t>效能數據直接在簡表中產生</t>
  </si>
  <si>
    <t>藍色框是可以自行修的部分</t>
  </si>
  <si>
    <t>而黃色框是會影響的計算結果</t>
  </si>
  <si>
    <t>請多注意</t>
  </si>
  <si>
    <t>Created By Extreme Techinist</t>
  </si>
  <si>
    <r>
      <t>200405081630</t>
    </r>
    <r>
      <rPr>
        <sz val="12"/>
        <rFont val="新細明體"/>
        <family val="1"/>
      </rPr>
      <t>更新</t>
    </r>
  </si>
  <si>
    <r>
      <t>1.</t>
    </r>
    <r>
      <rPr>
        <sz val="12"/>
        <rFont val="新細明體"/>
        <family val="1"/>
      </rPr>
      <t>增加</t>
    </r>
    <r>
      <rPr>
        <sz val="12"/>
        <rFont val="Arial"/>
        <family val="2"/>
      </rPr>
      <t>Geforce6800Ultra Extreme/GT</t>
    </r>
    <r>
      <rPr>
        <sz val="12"/>
        <rFont val="新細明體"/>
        <family val="1"/>
      </rPr>
      <t>的資料</t>
    </r>
  </si>
  <si>
    <r>
      <t>2.</t>
    </r>
    <r>
      <rPr>
        <sz val="12"/>
        <rFont val="新細明體"/>
        <family val="1"/>
      </rPr>
      <t>修正</t>
    </r>
    <r>
      <rPr>
        <sz val="12"/>
        <rFont val="Arial"/>
        <family val="2"/>
      </rPr>
      <t>RX800</t>
    </r>
    <r>
      <rPr>
        <sz val="12"/>
        <rFont val="新細明體"/>
        <family val="1"/>
      </rPr>
      <t>時脈並增加一些資料</t>
    </r>
  </si>
  <si>
    <r>
      <t>3.</t>
    </r>
    <r>
      <rPr>
        <sz val="12"/>
        <rFont val="新細明體"/>
        <family val="1"/>
      </rPr>
      <t>修改某些顯示卡的耗電量</t>
    </r>
  </si>
  <si>
    <r>
      <t>200405111230</t>
    </r>
    <r>
      <rPr>
        <sz val="12"/>
        <rFont val="新細明體"/>
        <family val="1"/>
      </rPr>
      <t>更新</t>
    </r>
  </si>
  <si>
    <r>
      <t>1.</t>
    </r>
    <r>
      <rPr>
        <sz val="12"/>
        <rFont val="新細明體"/>
        <family val="1"/>
      </rPr>
      <t>新增各顯示晶片廠商的連結</t>
    </r>
  </si>
  <si>
    <r>
      <t>2.</t>
    </r>
    <r>
      <rPr>
        <sz val="12"/>
        <rFont val="新細明體"/>
        <family val="1"/>
      </rPr>
      <t>更正</t>
    </r>
    <r>
      <rPr>
        <sz val="12"/>
        <rFont val="Arial"/>
        <family val="2"/>
      </rPr>
      <t>R9100IGP</t>
    </r>
    <r>
      <rPr>
        <sz val="12"/>
        <rFont val="新細明體"/>
        <family val="1"/>
      </rPr>
      <t>與</t>
    </r>
    <r>
      <rPr>
        <sz val="12"/>
        <rFont val="Arial"/>
        <family val="2"/>
      </rPr>
      <t>Parhelia</t>
    </r>
    <r>
      <rPr>
        <sz val="12"/>
        <rFont val="新細明體"/>
        <family val="1"/>
      </rPr>
      <t>的記憶體容量上限</t>
    </r>
  </si>
  <si>
    <r>
      <t>3.</t>
    </r>
    <r>
      <rPr>
        <sz val="12"/>
        <rFont val="新細明體"/>
        <family val="1"/>
      </rPr>
      <t>整理各文件</t>
    </r>
  </si>
  <si>
    <r>
      <t>200405172220</t>
    </r>
    <r>
      <rPr>
        <sz val="12"/>
        <rFont val="新細明體"/>
        <family val="1"/>
      </rPr>
      <t>更新</t>
    </r>
  </si>
  <si>
    <r>
      <t>1.</t>
    </r>
    <r>
      <rPr>
        <sz val="12"/>
        <rFont val="新細明體"/>
        <family val="1"/>
      </rPr>
      <t>第一頁的對照表效能改採運算式</t>
    </r>
  </si>
  <si>
    <r>
      <t>2.</t>
    </r>
    <r>
      <rPr>
        <sz val="12"/>
        <rFont val="新細明體"/>
        <family val="1"/>
      </rPr>
      <t>稍微修正</t>
    </r>
    <r>
      <rPr>
        <sz val="12"/>
        <rFont val="Arial"/>
        <family val="2"/>
      </rPr>
      <t>RX800</t>
    </r>
    <r>
      <rPr>
        <sz val="12"/>
        <rFont val="新細明體"/>
        <family val="1"/>
      </rPr>
      <t>系列公式</t>
    </r>
  </si>
  <si>
    <r>
      <t>80%</t>
    </r>
    <r>
      <rPr>
        <sz val="12"/>
        <rFont val="新細明體"/>
        <family val="1"/>
      </rPr>
      <t>更新</t>
    </r>
  </si>
  <si>
    <r>
      <t>1.</t>
    </r>
    <r>
      <rPr>
        <sz val="12"/>
        <rFont val="新細明體"/>
        <family val="1"/>
      </rPr>
      <t>增加文章內容</t>
    </r>
  </si>
  <si>
    <r>
      <t>2.</t>
    </r>
    <r>
      <rPr>
        <sz val="12"/>
        <rFont val="新細明體"/>
        <family val="1"/>
      </rPr>
      <t>更改版本顯示模式</t>
    </r>
    <r>
      <rPr>
        <sz val="12"/>
        <rFont val="Arial"/>
        <family val="2"/>
      </rPr>
      <t>,12</t>
    </r>
    <r>
      <rPr>
        <sz val="12"/>
        <rFont val="新細明體"/>
        <family val="1"/>
      </rPr>
      <t>個數字實在太長了</t>
    </r>
    <r>
      <rPr>
        <sz val="12"/>
        <rFont val="Arial"/>
        <family val="2"/>
      </rPr>
      <t>...</t>
    </r>
  </si>
  <si>
    <r>
      <t>81%</t>
    </r>
    <r>
      <rPr>
        <sz val="12"/>
        <rFont val="新細明體"/>
        <family val="1"/>
      </rPr>
      <t>更新</t>
    </r>
  </si>
  <si>
    <r>
      <t>1.</t>
    </r>
    <r>
      <rPr>
        <sz val="12"/>
        <rFont val="新細明體"/>
        <family val="1"/>
      </rPr>
      <t>新增一些資訊</t>
    </r>
    <r>
      <rPr>
        <sz val="12"/>
        <rFont val="Arial"/>
        <family val="2"/>
      </rPr>
      <t>,</t>
    </r>
    <r>
      <rPr>
        <sz val="12"/>
        <rFont val="新細明體"/>
        <family val="1"/>
      </rPr>
      <t>包括接口</t>
    </r>
    <r>
      <rPr>
        <sz val="12"/>
        <rFont val="Arial"/>
        <family val="2"/>
      </rPr>
      <t>,</t>
    </r>
    <r>
      <rPr>
        <sz val="12"/>
        <rFont val="新細明體"/>
        <family val="1"/>
      </rPr>
      <t>頂點管線</t>
    </r>
    <r>
      <rPr>
        <sz val="12"/>
        <rFont val="Arial"/>
        <family val="2"/>
      </rPr>
      <t>,</t>
    </r>
    <r>
      <rPr>
        <sz val="12"/>
        <rFont val="新細明體"/>
        <family val="1"/>
      </rPr>
      <t>以及新增一些顯示卡</t>
    </r>
  </si>
  <si>
    <r>
      <t>2.</t>
    </r>
    <r>
      <rPr>
        <sz val="12"/>
        <rFont val="新細明體"/>
        <family val="1"/>
      </rPr>
      <t>更改效能公式</t>
    </r>
  </si>
  <si>
    <r>
      <t>0424</t>
    </r>
    <r>
      <rPr>
        <sz val="12"/>
        <rFont val="新細明體"/>
        <family val="1"/>
      </rPr>
      <t>更新</t>
    </r>
  </si>
  <si>
    <r>
      <t>1.</t>
    </r>
    <r>
      <rPr>
        <sz val="12"/>
        <rFont val="新細明體"/>
        <family val="1"/>
      </rPr>
      <t>增加一些有用的資料</t>
    </r>
  </si>
  <si>
    <r>
      <t>2.</t>
    </r>
    <r>
      <rPr>
        <sz val="12"/>
        <rFont val="新細明體"/>
        <family val="1"/>
      </rPr>
      <t>修正</t>
    </r>
    <r>
      <rPr>
        <sz val="12"/>
        <rFont val="Arial"/>
        <family val="2"/>
      </rPr>
      <t>BGA/TSOP</t>
    </r>
    <r>
      <rPr>
        <sz val="12"/>
        <rFont val="新細明體"/>
        <family val="1"/>
      </rPr>
      <t>記憶體形狀的誤植</t>
    </r>
  </si>
  <si>
    <r>
      <t>3.</t>
    </r>
    <r>
      <rPr>
        <sz val="12"/>
        <rFont val="新細明體"/>
        <family val="1"/>
      </rPr>
      <t>修正一些顯示卡的錯誤連結</t>
    </r>
  </si>
  <si>
    <r>
      <t>4.</t>
    </r>
    <r>
      <rPr>
        <sz val="12"/>
        <rFont val="新細明體"/>
        <family val="1"/>
      </rPr>
      <t>再度修改版本敘述方式</t>
    </r>
    <r>
      <rPr>
        <sz val="12"/>
        <rFont val="Arial"/>
        <family val="2"/>
      </rPr>
      <t>,</t>
    </r>
    <r>
      <rPr>
        <sz val="12"/>
        <rFont val="新細明體"/>
        <family val="1"/>
      </rPr>
      <t>改採用週期的算法</t>
    </r>
    <r>
      <rPr>
        <sz val="12"/>
        <rFont val="Arial"/>
        <family val="2"/>
      </rPr>
      <t>,</t>
    </r>
    <r>
      <rPr>
        <sz val="12"/>
        <rFont val="新細明體"/>
        <family val="1"/>
      </rPr>
      <t>例如</t>
    </r>
    <r>
      <rPr>
        <sz val="12"/>
        <rFont val="Arial"/>
        <family val="2"/>
      </rPr>
      <t>0424</t>
    </r>
    <r>
      <rPr>
        <sz val="12"/>
        <rFont val="新細明體"/>
        <family val="1"/>
      </rPr>
      <t>代表</t>
    </r>
    <r>
      <rPr>
        <sz val="12"/>
        <rFont val="Arial"/>
        <family val="2"/>
      </rPr>
      <t>2004</t>
    </r>
    <r>
      <rPr>
        <sz val="12"/>
        <rFont val="新細明體"/>
        <family val="1"/>
      </rPr>
      <t>年第</t>
    </r>
    <r>
      <rPr>
        <sz val="12"/>
        <rFont val="Arial"/>
        <family val="2"/>
      </rPr>
      <t>24</t>
    </r>
    <r>
      <rPr>
        <sz val="12"/>
        <rFont val="新細明體"/>
        <family val="1"/>
      </rPr>
      <t>周</t>
    </r>
  </si>
  <si>
    <r>
      <t>0425</t>
    </r>
    <r>
      <rPr>
        <sz val="12"/>
        <rFont val="新細明體"/>
        <family val="1"/>
      </rPr>
      <t>更新</t>
    </r>
  </si>
  <si>
    <r>
      <t>1.</t>
    </r>
    <r>
      <rPr>
        <sz val="12"/>
        <rFont val="新細明體"/>
        <family val="1"/>
      </rPr>
      <t>新增</t>
    </r>
    <r>
      <rPr>
        <sz val="12"/>
        <rFont val="Arial"/>
        <family val="2"/>
      </rPr>
      <t>R9250/R7000</t>
    </r>
    <r>
      <rPr>
        <sz val="12"/>
        <rFont val="新細明體"/>
        <family val="1"/>
      </rPr>
      <t>的資料</t>
    </r>
  </si>
  <si>
    <r>
      <t>2.</t>
    </r>
    <r>
      <rPr>
        <sz val="12"/>
        <rFont val="新細明體"/>
        <family val="1"/>
      </rPr>
      <t>增加</t>
    </r>
    <r>
      <rPr>
        <sz val="12"/>
        <rFont val="Arial"/>
        <family val="2"/>
      </rPr>
      <t>PCB</t>
    </r>
    <r>
      <rPr>
        <sz val="12"/>
        <rFont val="新細明體"/>
        <family val="1"/>
      </rPr>
      <t>層數</t>
    </r>
    <r>
      <rPr>
        <sz val="12"/>
        <rFont val="Arial"/>
        <family val="2"/>
      </rPr>
      <t>/</t>
    </r>
    <r>
      <rPr>
        <sz val="12"/>
        <rFont val="新細明體"/>
        <family val="1"/>
      </rPr>
      <t>與顯示卡長度的資訊</t>
    </r>
  </si>
  <si>
    <r>
      <t>0433</t>
    </r>
    <r>
      <rPr>
        <sz val="12"/>
        <rFont val="新細明體"/>
        <family val="1"/>
      </rPr>
      <t>更新</t>
    </r>
  </si>
  <si>
    <r>
      <t>1.</t>
    </r>
    <r>
      <rPr>
        <sz val="12"/>
        <rFont val="新細明體"/>
        <family val="1"/>
      </rPr>
      <t>新增</t>
    </r>
    <r>
      <rPr>
        <sz val="12"/>
        <rFont val="Arial"/>
        <family val="2"/>
      </rPr>
      <t>Geforce6600</t>
    </r>
    <r>
      <rPr>
        <sz val="12"/>
        <rFont val="新細明體"/>
        <family val="1"/>
      </rPr>
      <t>系列的資訊</t>
    </r>
  </si>
  <si>
    <r>
      <t>2.</t>
    </r>
    <r>
      <rPr>
        <sz val="12"/>
        <rFont val="新細明體"/>
        <family val="1"/>
      </rPr>
      <t>新增一些關於</t>
    </r>
    <r>
      <rPr>
        <sz val="12"/>
        <rFont val="Arial"/>
        <family val="2"/>
      </rPr>
      <t>CPU</t>
    </r>
    <r>
      <rPr>
        <sz val="12"/>
        <rFont val="新細明體"/>
        <family val="1"/>
      </rPr>
      <t>的資訊</t>
    </r>
    <r>
      <rPr>
        <sz val="12"/>
        <rFont val="Arial"/>
        <family val="2"/>
      </rPr>
      <t>,</t>
    </r>
    <r>
      <rPr>
        <sz val="12"/>
        <rFont val="新細明體"/>
        <family val="1"/>
      </rPr>
      <t>目前資料量依然不夠</t>
    </r>
  </si>
  <si>
    <r>
      <t>0443</t>
    </r>
    <r>
      <rPr>
        <sz val="12"/>
        <rFont val="新細明體"/>
        <family val="1"/>
      </rPr>
      <t>更新</t>
    </r>
  </si>
  <si>
    <r>
      <t>1.</t>
    </r>
    <r>
      <rPr>
        <sz val="12"/>
        <rFont val="新細明體"/>
        <family val="1"/>
      </rPr>
      <t>算式全面更新</t>
    </r>
  </si>
  <si>
    <r>
      <t>DX7 DX8 DX9 Doom3</t>
    </r>
    <r>
      <rPr>
        <sz val="12"/>
        <rFont val="新細明體"/>
        <family val="1"/>
      </rPr>
      <t>遊戲性能算式分立</t>
    </r>
  </si>
  <si>
    <r>
      <t>2.</t>
    </r>
    <r>
      <rPr>
        <sz val="12"/>
        <rFont val="新細明體"/>
        <family val="1"/>
      </rPr>
      <t>新增價格簡表</t>
    </r>
  </si>
  <si>
    <r>
      <t>3.</t>
    </r>
    <r>
      <rPr>
        <sz val="12"/>
        <rFont val="新細明體"/>
        <family val="1"/>
      </rPr>
      <t>新增欄位</t>
    </r>
    <r>
      <rPr>
        <sz val="12"/>
        <rFont val="Arial"/>
        <family val="2"/>
      </rPr>
      <t>:</t>
    </r>
    <r>
      <rPr>
        <sz val="12"/>
        <rFont val="新細明體"/>
        <family val="1"/>
      </rPr>
      <t>市場可見度</t>
    </r>
  </si>
  <si>
    <r>
      <t>0447</t>
    </r>
    <r>
      <rPr>
        <sz val="12"/>
        <rFont val="新細明體"/>
        <family val="1"/>
      </rPr>
      <t>更新</t>
    </r>
  </si>
  <si>
    <r>
      <t>1.Geforce6</t>
    </r>
    <r>
      <rPr>
        <sz val="12"/>
        <rFont val="新細明體"/>
        <family val="1"/>
      </rPr>
      <t>系列的</t>
    </r>
    <r>
      <rPr>
        <sz val="12"/>
        <rFont val="Arial"/>
        <family val="2"/>
      </rPr>
      <t>OpenGL</t>
    </r>
    <r>
      <rPr>
        <sz val="12"/>
        <rFont val="新細明體"/>
        <family val="1"/>
      </rPr>
      <t>效能</t>
    </r>
  </si>
  <si>
    <r>
      <t>2.DeltaChrome</t>
    </r>
    <r>
      <rPr>
        <sz val="12"/>
        <rFont val="新細明體"/>
        <family val="1"/>
      </rPr>
      <t>的效能</t>
    </r>
  </si>
  <si>
    <r>
      <t>2.</t>
    </r>
    <r>
      <rPr>
        <sz val="12"/>
        <rFont val="新細明體"/>
        <family val="1"/>
      </rPr>
      <t>價格簡表的改寫</t>
    </r>
  </si>
  <si>
    <r>
      <t>你可以透過修改</t>
    </r>
    <r>
      <rPr>
        <sz val="12"/>
        <rFont val="Arial"/>
        <family val="2"/>
      </rPr>
      <t>GPU/RAM</t>
    </r>
    <r>
      <rPr>
        <sz val="12"/>
        <rFont val="新細明體"/>
        <family val="1"/>
      </rPr>
      <t>時脈來修正超頻後的效能提升</t>
    </r>
  </si>
  <si>
    <r>
      <t>另外還可以自動計算</t>
    </r>
    <r>
      <rPr>
        <sz val="12"/>
        <rFont val="Arial"/>
        <family val="2"/>
      </rPr>
      <t>C/P</t>
    </r>
    <r>
      <rPr>
        <sz val="12"/>
        <rFont val="新細明體"/>
        <family val="1"/>
      </rPr>
      <t>值</t>
    </r>
  </si>
  <si>
    <r>
      <t>C/P</t>
    </r>
    <r>
      <rPr>
        <sz val="12"/>
        <rFont val="新細明體"/>
        <family val="1"/>
      </rPr>
      <t>值的計算方式為</t>
    </r>
    <r>
      <rPr>
        <sz val="12"/>
        <rFont val="Arial"/>
        <family val="2"/>
      </rPr>
      <t xml:space="preserve"> DX7/DX8/DX9/Doom3</t>
    </r>
    <r>
      <rPr>
        <sz val="12"/>
        <rFont val="新細明體"/>
        <family val="1"/>
      </rPr>
      <t>的效能數據各自乘上一個加權值後的加總</t>
    </r>
    <r>
      <rPr>
        <sz val="12"/>
        <rFont val="Arial"/>
        <family val="2"/>
      </rPr>
      <t>,</t>
    </r>
    <r>
      <rPr>
        <sz val="12"/>
        <rFont val="新細明體"/>
        <family val="1"/>
      </rPr>
      <t>再除以價格</t>
    </r>
  </si>
  <si>
    <r>
      <t>例如預設值：</t>
    </r>
    <r>
      <rPr>
        <sz val="12"/>
        <rFont val="Arial"/>
        <family val="2"/>
      </rPr>
      <t>DX7</t>
    </r>
    <r>
      <rPr>
        <sz val="12"/>
        <rFont val="新細明體"/>
        <family val="1"/>
      </rPr>
      <t>佔</t>
    </r>
    <r>
      <rPr>
        <sz val="12"/>
        <rFont val="Arial"/>
        <family val="2"/>
      </rPr>
      <t>20% DX8</t>
    </r>
    <r>
      <rPr>
        <sz val="12"/>
        <rFont val="新細明體"/>
        <family val="1"/>
      </rPr>
      <t>佔</t>
    </r>
    <r>
      <rPr>
        <sz val="12"/>
        <rFont val="Arial"/>
        <family val="2"/>
      </rPr>
      <t>20% DX9</t>
    </r>
    <r>
      <rPr>
        <sz val="12"/>
        <rFont val="新細明體"/>
        <family val="1"/>
      </rPr>
      <t>佔</t>
    </r>
    <r>
      <rPr>
        <sz val="12"/>
        <rFont val="Arial"/>
        <family val="2"/>
      </rPr>
      <t>40% Doom3</t>
    </r>
    <r>
      <rPr>
        <sz val="12"/>
        <rFont val="新細明體"/>
        <family val="1"/>
      </rPr>
      <t>佔</t>
    </r>
    <r>
      <rPr>
        <sz val="12"/>
        <rFont val="Arial"/>
        <family val="2"/>
      </rPr>
      <t>20%</t>
    </r>
  </si>
  <si>
    <r>
      <t>CP</t>
    </r>
    <r>
      <rPr>
        <sz val="12"/>
        <rFont val="新細明體"/>
        <family val="1"/>
      </rPr>
      <t>值</t>
    </r>
    <r>
      <rPr>
        <sz val="12"/>
        <rFont val="Arial"/>
        <family val="2"/>
      </rPr>
      <t>=(DX7*20+DX8*20+DX9*40+Doom3*20)/</t>
    </r>
    <r>
      <rPr>
        <sz val="12"/>
        <rFont val="新細明體"/>
        <family val="1"/>
      </rPr>
      <t>價格</t>
    </r>
  </si>
  <si>
    <r>
      <t>其中各項數值所佔的比重可以自行調整</t>
    </r>
    <r>
      <rPr>
        <sz val="12"/>
        <rFont val="Arial"/>
        <family val="2"/>
      </rPr>
      <t>(</t>
    </r>
    <r>
      <rPr>
        <sz val="12"/>
        <rFont val="新細明體"/>
        <family val="1"/>
      </rPr>
      <t>底色為黃色的欄位</t>
    </r>
    <r>
      <rPr>
        <sz val="12"/>
        <rFont val="Arial"/>
        <family val="2"/>
      </rPr>
      <t>)</t>
    </r>
  </si>
  <si>
    <r>
      <t>0448</t>
    </r>
    <r>
      <rPr>
        <sz val="12"/>
        <rFont val="新細明體"/>
        <family val="1"/>
      </rPr>
      <t>更新</t>
    </r>
  </si>
  <si>
    <r>
      <t>1.</t>
    </r>
    <r>
      <rPr>
        <sz val="12"/>
        <rFont val="新細明體"/>
        <family val="1"/>
      </rPr>
      <t>修正</t>
    </r>
    <r>
      <rPr>
        <sz val="12"/>
        <rFont val="Arial"/>
        <family val="2"/>
      </rPr>
      <t>Geforce6200</t>
    </r>
    <r>
      <rPr>
        <sz val="12"/>
        <rFont val="新細明體"/>
        <family val="1"/>
      </rPr>
      <t>的管線數量</t>
    </r>
  </si>
  <si>
    <r>
      <t>2.</t>
    </r>
    <r>
      <rPr>
        <sz val="12"/>
        <rFont val="新細明體"/>
        <family val="1"/>
      </rPr>
      <t>增加</t>
    </r>
    <r>
      <rPr>
        <sz val="12"/>
        <rFont val="Arial"/>
        <family val="2"/>
      </rPr>
      <t>Radeon X850</t>
    </r>
    <r>
      <rPr>
        <sz val="12"/>
        <rFont val="新細明體"/>
        <family val="1"/>
      </rPr>
      <t>系列的資訊</t>
    </r>
  </si>
  <si>
    <r>
      <t>3.</t>
    </r>
    <r>
      <rPr>
        <sz val="12"/>
        <rFont val="新細明體"/>
        <family val="1"/>
      </rPr>
      <t>現在可以直接修改管線數量欄位的數值來影響分數</t>
    </r>
    <r>
      <rPr>
        <sz val="12"/>
        <rFont val="Arial"/>
        <family val="2"/>
      </rPr>
      <t>(</t>
    </r>
    <r>
      <rPr>
        <sz val="12"/>
        <rFont val="新細明體"/>
        <family val="1"/>
      </rPr>
      <t>限於</t>
    </r>
    <r>
      <rPr>
        <sz val="12"/>
        <rFont val="Arial"/>
        <family val="2"/>
      </rPr>
      <t>R3X0/R4X0/NV4x/S3 Deltachrome</t>
    </r>
    <r>
      <rPr>
        <sz val="12"/>
        <rFont val="新細明體"/>
        <family val="1"/>
      </rPr>
      <t>系列</t>
    </r>
    <r>
      <rPr>
        <sz val="12"/>
        <rFont val="Arial"/>
        <family val="2"/>
      </rPr>
      <t>)</t>
    </r>
  </si>
  <si>
    <r>
      <t>4.</t>
    </r>
    <r>
      <rPr>
        <sz val="12"/>
        <rFont val="新細明體"/>
        <family val="1"/>
      </rPr>
      <t>新增智慧財產權聲明</t>
    </r>
  </si>
  <si>
    <r>
      <t>0449</t>
    </r>
    <r>
      <rPr>
        <sz val="12"/>
        <rFont val="新細明體"/>
        <family val="1"/>
      </rPr>
      <t>更新</t>
    </r>
  </si>
  <si>
    <r>
      <t>1.</t>
    </r>
    <r>
      <rPr>
        <sz val="12"/>
        <rFont val="新細明體"/>
        <family val="1"/>
      </rPr>
      <t>修正</t>
    </r>
    <r>
      <rPr>
        <sz val="12"/>
        <rFont val="Arial"/>
        <family val="2"/>
      </rPr>
      <t>6800</t>
    </r>
    <r>
      <rPr>
        <sz val="12"/>
        <rFont val="新細明體"/>
        <family val="1"/>
      </rPr>
      <t>在價格簡表上錯誤的管線數量</t>
    </r>
  </si>
  <si>
    <r>
      <t>2.</t>
    </r>
    <r>
      <rPr>
        <sz val="12"/>
        <rFont val="新細明體"/>
        <family val="1"/>
      </rPr>
      <t>新增顯示卡</t>
    </r>
    <r>
      <rPr>
        <sz val="12"/>
        <rFont val="Arial"/>
        <family val="2"/>
      </rPr>
      <t>Radeon X800/X800XL</t>
    </r>
  </si>
  <si>
    <r>
      <t>3.</t>
    </r>
    <r>
      <rPr>
        <sz val="12"/>
        <rFont val="新細明體"/>
        <family val="1"/>
      </rPr>
      <t>可以修改的欄位提示：</t>
    </r>
  </si>
  <si>
    <r>
      <t>4.</t>
    </r>
    <r>
      <rPr>
        <sz val="12"/>
        <rFont val="新細明體"/>
        <family val="1"/>
      </rPr>
      <t>價格資訊新增日期</t>
    </r>
  </si>
  <si>
    <r>
      <t>目前</t>
    </r>
    <r>
      <rPr>
        <sz val="12"/>
        <rFont val="Arial"/>
        <family val="2"/>
      </rPr>
      <t>4K~7K</t>
    </r>
    <r>
      <rPr>
        <sz val="12"/>
        <rFont val="新細明體"/>
        <family val="1"/>
      </rPr>
      <t>左右價格的顯示卡會因為</t>
    </r>
    <r>
      <rPr>
        <sz val="12"/>
        <rFont val="Arial"/>
        <family val="2"/>
      </rPr>
      <t>6600</t>
    </r>
    <r>
      <rPr>
        <sz val="12"/>
        <rFont val="新細明體"/>
        <family val="1"/>
      </rPr>
      <t>系列大幅度變動</t>
    </r>
  </si>
  <si>
    <r>
      <t>5.</t>
    </r>
    <r>
      <rPr>
        <sz val="12"/>
        <rFont val="新細明體"/>
        <family val="1"/>
      </rPr>
      <t>改用</t>
    </r>
    <r>
      <rPr>
        <sz val="12"/>
        <rFont val="Arial"/>
        <family val="2"/>
      </rPr>
      <t>RAR</t>
    </r>
    <r>
      <rPr>
        <sz val="12"/>
        <rFont val="新細明體"/>
        <family val="1"/>
      </rPr>
      <t>壓縮，沒辦法開的板有就抱歉了。</t>
    </r>
  </si>
  <si>
    <r>
      <t>0804</t>
    </r>
    <r>
      <rPr>
        <sz val="12"/>
        <rFont val="新細明體"/>
        <family val="1"/>
      </rPr>
      <t>更新</t>
    </r>
  </si>
  <si>
    <r>
      <t>1.</t>
    </r>
    <r>
      <rPr>
        <sz val="12"/>
        <rFont val="新細明體"/>
        <family val="1"/>
      </rPr>
      <t>真的好久沒更新了</t>
    </r>
  </si>
  <si>
    <r>
      <t>2.</t>
    </r>
    <r>
      <rPr>
        <sz val="12"/>
        <rFont val="新細明體"/>
        <family val="1"/>
      </rPr>
      <t>改變版本命名原則只顯示年份與月份</t>
    </r>
    <r>
      <rPr>
        <sz val="12"/>
        <rFont val="Arial"/>
        <family val="2"/>
      </rPr>
      <t>,</t>
    </r>
    <r>
      <rPr>
        <sz val="12"/>
        <rFont val="新細明體"/>
        <family val="1"/>
      </rPr>
      <t>未來一個月頂多更新一次</t>
    </r>
  </si>
  <si>
    <r>
      <t>3.</t>
    </r>
    <r>
      <rPr>
        <sz val="12"/>
        <rFont val="新細明體"/>
        <family val="1"/>
      </rPr>
      <t>四年沒更新</t>
    </r>
    <r>
      <rPr>
        <sz val="12"/>
        <rFont val="Arial"/>
        <family val="2"/>
      </rPr>
      <t>,</t>
    </r>
    <r>
      <rPr>
        <sz val="12"/>
        <rFont val="新細明體"/>
        <family val="1"/>
      </rPr>
      <t>什麼都變了</t>
    </r>
    <r>
      <rPr>
        <sz val="12"/>
        <rFont val="Arial"/>
        <family val="2"/>
      </rPr>
      <t>,</t>
    </r>
    <r>
      <rPr>
        <sz val="12"/>
        <rFont val="新細明體"/>
        <family val="1"/>
      </rPr>
      <t>唯一不變的是資料多到你看不下去</t>
    </r>
    <r>
      <rPr>
        <sz val="12"/>
        <rFont val="Arial"/>
        <family val="2"/>
      </rPr>
      <t>!</t>
    </r>
  </si>
  <si>
    <r>
      <t>0805</t>
    </r>
    <r>
      <rPr>
        <sz val="12"/>
        <rFont val="新細明體"/>
        <family val="1"/>
      </rPr>
      <t>更新</t>
    </r>
  </si>
  <si>
    <r>
      <t>1.</t>
    </r>
    <r>
      <rPr>
        <sz val="12"/>
        <rFont val="新細明體"/>
        <family val="1"/>
      </rPr>
      <t>大幅度修改效能估算公式</t>
    </r>
    <r>
      <rPr>
        <sz val="12"/>
        <rFont val="Arial"/>
        <family val="2"/>
      </rPr>
      <t>,</t>
    </r>
    <r>
      <rPr>
        <sz val="12"/>
        <rFont val="新細明體"/>
        <family val="1"/>
      </rPr>
      <t>相信這次的更新會讓估算更準確</t>
    </r>
  </si>
  <si>
    <r>
      <t>2.</t>
    </r>
    <r>
      <rPr>
        <sz val="12"/>
        <rFont val="新細明體"/>
        <family val="1"/>
      </rPr>
      <t>支援多顯示卡的運作</t>
    </r>
    <r>
      <rPr>
        <sz val="12"/>
        <rFont val="Arial"/>
        <family val="2"/>
      </rPr>
      <t>,</t>
    </r>
    <r>
      <rPr>
        <sz val="12"/>
        <rFont val="新細明體"/>
        <family val="1"/>
      </rPr>
      <t>只要在</t>
    </r>
    <r>
      <rPr>
        <sz val="12"/>
        <rFont val="Arial"/>
        <family val="2"/>
      </rPr>
      <t>GPU</t>
    </r>
    <r>
      <rPr>
        <sz val="12"/>
        <rFont val="新細明體"/>
        <family val="1"/>
      </rPr>
      <t>數量欄位填上卡的數量</t>
    </r>
    <r>
      <rPr>
        <sz val="12"/>
        <rFont val="Arial"/>
        <family val="2"/>
      </rPr>
      <t>,</t>
    </r>
    <r>
      <rPr>
        <sz val="12"/>
        <rFont val="新細明體"/>
        <family val="1"/>
      </rPr>
      <t>後面的分數自然會改變</t>
    </r>
  </si>
  <si>
    <r>
      <t>3.</t>
    </r>
    <r>
      <rPr>
        <sz val="12"/>
        <rFont val="新細明體"/>
        <family val="1"/>
      </rPr>
      <t>淺藍色欄位的數字可以因為超頻或是多張顯示卡的運作</t>
    </r>
    <r>
      <rPr>
        <sz val="12"/>
        <rFont val="Arial"/>
        <family val="2"/>
      </rPr>
      <t>,</t>
    </r>
    <r>
      <rPr>
        <sz val="12"/>
        <rFont val="新細明體"/>
        <family val="1"/>
      </rPr>
      <t>讓你自己填寫</t>
    </r>
    <r>
      <rPr>
        <sz val="12"/>
        <rFont val="Arial"/>
        <family val="2"/>
      </rPr>
      <t>,</t>
    </r>
    <r>
      <rPr>
        <sz val="12"/>
        <rFont val="新細明體"/>
        <family val="1"/>
      </rPr>
      <t>填完後後面的黃色欄位將會跟著改變</t>
    </r>
  </si>
  <si>
    <r>
      <t>4.</t>
    </r>
    <r>
      <rPr>
        <sz val="12"/>
        <rFont val="新細明體"/>
        <family val="1"/>
      </rPr>
      <t>未來分數採浮動制</t>
    </r>
    <r>
      <rPr>
        <sz val="12"/>
        <rFont val="Arial"/>
        <family val="2"/>
      </rPr>
      <t>,</t>
    </r>
    <r>
      <rPr>
        <sz val="12"/>
        <rFont val="新細明體"/>
        <family val="1"/>
      </rPr>
      <t>王卡將固定有</t>
    </r>
    <r>
      <rPr>
        <sz val="12"/>
        <rFont val="Arial"/>
        <family val="2"/>
      </rPr>
      <t>999</t>
    </r>
    <r>
      <rPr>
        <sz val="12"/>
        <rFont val="新細明體"/>
        <family val="1"/>
      </rPr>
      <t>分</t>
    </r>
    <r>
      <rPr>
        <sz val="12"/>
        <rFont val="Arial"/>
        <family val="2"/>
      </rPr>
      <t>,</t>
    </r>
    <r>
      <rPr>
        <sz val="12"/>
        <rFont val="新細明體"/>
        <family val="1"/>
      </rPr>
      <t>未來新王卡產生時</t>
    </r>
    <r>
      <rPr>
        <sz val="12"/>
        <rFont val="Arial"/>
        <family val="2"/>
      </rPr>
      <t>,</t>
    </r>
    <r>
      <rPr>
        <sz val="12"/>
        <rFont val="新細明體"/>
        <family val="1"/>
      </rPr>
      <t>舊卡分數全面向下修正</t>
    </r>
  </si>
  <si>
    <r>
      <t>大致上</t>
    </r>
    <r>
      <rPr>
        <sz val="12"/>
        <rFont val="Arial"/>
        <family val="2"/>
      </rPr>
      <t>: 500~999</t>
    </r>
    <r>
      <rPr>
        <sz val="12"/>
        <rFont val="新細明體"/>
        <family val="1"/>
      </rPr>
      <t>屬於高卡</t>
    </r>
    <r>
      <rPr>
        <sz val="12"/>
        <rFont val="Arial"/>
        <family val="2"/>
      </rPr>
      <t xml:space="preserve">  200~500</t>
    </r>
    <r>
      <rPr>
        <sz val="12"/>
        <rFont val="新細明體"/>
        <family val="1"/>
      </rPr>
      <t>屬於中階卡</t>
    </r>
    <r>
      <rPr>
        <sz val="12"/>
        <rFont val="Arial"/>
        <family val="2"/>
      </rPr>
      <t xml:space="preserve"> 100~200</t>
    </r>
    <r>
      <rPr>
        <sz val="12"/>
        <rFont val="新細明體"/>
        <family val="1"/>
      </rPr>
      <t>屬於低階卡</t>
    </r>
    <r>
      <rPr>
        <sz val="12"/>
        <rFont val="Arial"/>
        <family val="2"/>
      </rPr>
      <t xml:space="preserve"> 50~100</t>
    </r>
    <r>
      <rPr>
        <sz val="12"/>
        <rFont val="新細明體"/>
        <family val="1"/>
      </rPr>
      <t>屬於底接卡</t>
    </r>
    <r>
      <rPr>
        <sz val="12"/>
        <rFont val="Arial"/>
        <family val="2"/>
      </rPr>
      <t xml:space="preserve"> 50</t>
    </r>
    <r>
      <rPr>
        <sz val="12"/>
        <rFont val="新細明體"/>
        <family val="1"/>
      </rPr>
      <t>以下如果有玩</t>
    </r>
    <r>
      <rPr>
        <sz val="12"/>
        <rFont val="Arial"/>
        <family val="2"/>
      </rPr>
      <t>3D</t>
    </r>
    <r>
      <rPr>
        <sz val="12"/>
        <rFont val="新細明體"/>
        <family val="1"/>
      </rPr>
      <t>遊戲需求</t>
    </r>
    <r>
      <rPr>
        <sz val="12"/>
        <rFont val="Arial"/>
        <family val="2"/>
      </rPr>
      <t>,</t>
    </r>
    <r>
      <rPr>
        <sz val="12"/>
        <rFont val="新細明體"/>
        <family val="1"/>
      </rPr>
      <t>強烈不建議購買</t>
    </r>
  </si>
  <si>
    <r>
      <t>5.</t>
    </r>
    <r>
      <rPr>
        <sz val="12"/>
        <rFont val="新細明體"/>
        <family val="1"/>
      </rPr>
      <t>微幅修正一些顯示卡耗電量</t>
    </r>
  </si>
  <si>
    <r>
      <t>6.</t>
    </r>
    <r>
      <rPr>
        <sz val="12"/>
        <rFont val="新細明體"/>
        <family val="1"/>
      </rPr>
      <t>新增一些中低階卡的確切長度</t>
    </r>
  </si>
  <si>
    <r>
      <t>7.</t>
    </r>
    <r>
      <rPr>
        <sz val="12"/>
        <rFont val="新細明體"/>
        <family val="1"/>
      </rPr>
      <t>不再顯示未上市顯示卡的不確定資料</t>
    </r>
    <r>
      <rPr>
        <sz val="12"/>
        <rFont val="Arial"/>
        <family val="2"/>
      </rPr>
      <t>(</t>
    </r>
    <r>
      <rPr>
        <sz val="12"/>
        <rFont val="新細明體"/>
        <family val="1"/>
      </rPr>
      <t>僅為不顯示</t>
    </r>
    <r>
      <rPr>
        <sz val="12"/>
        <rFont val="Arial"/>
        <family val="2"/>
      </rPr>
      <t>,</t>
    </r>
    <r>
      <rPr>
        <sz val="12"/>
        <rFont val="新細明體"/>
        <family val="1"/>
      </rPr>
      <t>但資料還在</t>
    </r>
    <r>
      <rPr>
        <sz val="12"/>
        <rFont val="Arial"/>
        <family val="2"/>
      </rPr>
      <t>,</t>
    </r>
    <r>
      <rPr>
        <sz val="12"/>
        <rFont val="新細明體"/>
        <family val="1"/>
      </rPr>
      <t>知道的不要說</t>
    </r>
    <r>
      <rPr>
        <sz val="12"/>
        <rFont val="Arial"/>
        <family val="2"/>
      </rPr>
      <t>,</t>
    </r>
    <r>
      <rPr>
        <sz val="12"/>
        <rFont val="新細明體"/>
        <family val="1"/>
      </rPr>
      <t>不知道的也不要問</t>
    </r>
    <r>
      <rPr>
        <sz val="12"/>
        <rFont val="Arial"/>
        <family val="2"/>
      </rPr>
      <t>)</t>
    </r>
  </si>
  <si>
    <r>
      <t>0807</t>
    </r>
    <r>
      <rPr>
        <sz val="12"/>
        <rFont val="新細明體"/>
        <family val="1"/>
      </rPr>
      <t>更新</t>
    </r>
  </si>
  <si>
    <r>
      <t>1.GT200,RV770,9800GTX+</t>
    </r>
    <r>
      <rPr>
        <sz val="12"/>
        <rFont val="新細明體"/>
        <family val="1"/>
      </rPr>
      <t>新上市</t>
    </r>
    <r>
      <rPr>
        <sz val="12"/>
        <rFont val="Arial"/>
        <family val="2"/>
      </rPr>
      <t>,</t>
    </r>
    <r>
      <rPr>
        <sz val="12"/>
        <rFont val="新細明體"/>
        <family val="1"/>
      </rPr>
      <t>新任王卡是</t>
    </r>
    <r>
      <rPr>
        <sz val="12"/>
        <rFont val="Arial"/>
        <family val="2"/>
      </rPr>
      <t>GTX280,</t>
    </r>
    <r>
      <rPr>
        <sz val="12"/>
        <rFont val="新細明體"/>
        <family val="1"/>
      </rPr>
      <t>以王卡</t>
    </r>
    <r>
      <rPr>
        <sz val="12"/>
        <rFont val="Arial"/>
        <family val="2"/>
      </rPr>
      <t>999</t>
    </r>
    <r>
      <rPr>
        <sz val="12"/>
        <rFont val="新細明體"/>
        <family val="1"/>
      </rPr>
      <t>分為基準</t>
    </r>
    <r>
      <rPr>
        <sz val="12"/>
        <rFont val="Arial"/>
        <family val="2"/>
      </rPr>
      <t>,</t>
    </r>
    <r>
      <rPr>
        <sz val="12"/>
        <rFont val="新細明體"/>
        <family val="1"/>
      </rPr>
      <t>調降所有舊卡的分數</t>
    </r>
  </si>
  <si>
    <r>
      <t>2.</t>
    </r>
    <r>
      <rPr>
        <sz val="12"/>
        <rFont val="新細明體"/>
        <family val="1"/>
      </rPr>
      <t>新增</t>
    </r>
    <r>
      <rPr>
        <sz val="12"/>
        <rFont val="Arial"/>
        <family val="2"/>
      </rPr>
      <t>GT200B,RV870</t>
    </r>
    <r>
      <rPr>
        <sz val="12"/>
        <rFont val="新細明體"/>
        <family val="1"/>
      </rPr>
      <t>可能的訊息</t>
    </r>
    <r>
      <rPr>
        <sz val="12"/>
        <rFont val="Arial"/>
        <family val="2"/>
      </rPr>
      <t>(</t>
    </r>
    <r>
      <rPr>
        <sz val="12"/>
        <rFont val="新細明體"/>
        <family val="1"/>
      </rPr>
      <t>隱藏了</t>
    </r>
    <r>
      <rPr>
        <sz val="12"/>
        <rFont val="Arial"/>
        <family val="2"/>
      </rPr>
      <t>)</t>
    </r>
  </si>
  <si>
    <r>
      <t xml:space="preserve">3.Radeon HD3200 </t>
    </r>
    <r>
      <rPr>
        <sz val="12"/>
        <rFont val="新細明體"/>
        <family val="1"/>
      </rPr>
      <t>更改敘述為</t>
    </r>
    <r>
      <rPr>
        <sz val="12"/>
        <rFont val="Arial"/>
        <family val="2"/>
      </rPr>
      <t>780G,</t>
    </r>
    <r>
      <rPr>
        <sz val="12"/>
        <rFont val="新細明體"/>
        <family val="1"/>
      </rPr>
      <t>並新增另外有</t>
    </r>
    <r>
      <rPr>
        <sz val="12"/>
        <rFont val="Arial"/>
        <family val="2"/>
      </rPr>
      <t>Sideport VRAM</t>
    </r>
    <r>
      <rPr>
        <sz val="12"/>
        <rFont val="新細明體"/>
        <family val="1"/>
      </rPr>
      <t>的資料</t>
    </r>
    <r>
      <rPr>
        <sz val="12"/>
        <rFont val="Arial"/>
        <family val="2"/>
      </rPr>
      <t>,</t>
    </r>
    <r>
      <rPr>
        <sz val="12"/>
        <rFont val="新細明體"/>
        <family val="1"/>
      </rPr>
      <t>算式不同</t>
    </r>
    <r>
      <rPr>
        <sz val="12"/>
        <rFont val="Arial"/>
        <family val="2"/>
      </rPr>
      <t>,</t>
    </r>
    <r>
      <rPr>
        <sz val="12"/>
        <rFont val="新細明體"/>
        <family val="1"/>
      </rPr>
      <t>假設</t>
    </r>
    <r>
      <rPr>
        <sz val="12"/>
        <rFont val="Arial"/>
        <family val="2"/>
      </rPr>
      <t>Sideport VRAM</t>
    </r>
    <r>
      <rPr>
        <sz val="12"/>
        <rFont val="新細明體"/>
        <family val="1"/>
      </rPr>
      <t>為</t>
    </r>
    <r>
      <rPr>
        <sz val="12"/>
        <rFont val="Arial"/>
        <family val="2"/>
      </rPr>
      <t>1333Mhz DDR3</t>
    </r>
  </si>
  <si>
    <r>
      <t>4.</t>
    </r>
    <r>
      <rPr>
        <sz val="12"/>
        <rFont val="新細明體"/>
        <family val="1"/>
      </rPr>
      <t>取消原先非繪圖用途的理論浮點運算值</t>
    </r>
    <r>
      <rPr>
        <sz val="12"/>
        <rFont val="Arial"/>
        <family val="2"/>
      </rPr>
      <t>,</t>
    </r>
    <r>
      <rPr>
        <sz val="12"/>
        <rFont val="新細明體"/>
        <family val="1"/>
      </rPr>
      <t>由</t>
    </r>
    <r>
      <rPr>
        <sz val="12"/>
        <rFont val="Arial"/>
        <family val="2"/>
      </rPr>
      <t>Folding @ Home</t>
    </r>
    <r>
      <rPr>
        <sz val="12"/>
        <rFont val="新細明體"/>
        <family val="1"/>
      </rPr>
      <t>的</t>
    </r>
    <r>
      <rPr>
        <sz val="12"/>
        <rFont val="Arial"/>
        <family val="2"/>
      </rPr>
      <t>PPD</t>
    </r>
    <r>
      <rPr>
        <sz val="12"/>
        <rFont val="新細明體"/>
        <family val="1"/>
      </rPr>
      <t>取代。這個數值一樣適用公式推算</t>
    </r>
    <r>
      <rPr>
        <sz val="12"/>
        <rFont val="Arial"/>
        <family val="2"/>
      </rPr>
      <t>,</t>
    </r>
    <r>
      <rPr>
        <sz val="12"/>
        <rFont val="新細明體"/>
        <family val="1"/>
      </rPr>
      <t>填入超頻後的數據一樣會連動。目前</t>
    </r>
    <r>
      <rPr>
        <sz val="12"/>
        <rFont val="Arial"/>
        <family val="2"/>
      </rPr>
      <t>GT200</t>
    </r>
    <r>
      <rPr>
        <sz val="12"/>
        <rFont val="新細明體"/>
        <family val="1"/>
      </rPr>
      <t>與</t>
    </r>
    <r>
      <rPr>
        <sz val="12"/>
        <rFont val="Arial"/>
        <family val="2"/>
      </rPr>
      <t>RV770</t>
    </r>
    <r>
      <rPr>
        <sz val="12"/>
        <rFont val="新細明體"/>
        <family val="1"/>
      </rPr>
      <t>的效率不佳</t>
    </r>
    <r>
      <rPr>
        <sz val="12"/>
        <rFont val="Arial"/>
        <family val="2"/>
      </rPr>
      <t>,</t>
    </r>
    <r>
      <rPr>
        <sz val="12"/>
        <rFont val="新細明體"/>
        <family val="1"/>
      </rPr>
      <t>未來驅動有更新改善效率時</t>
    </r>
    <r>
      <rPr>
        <sz val="12"/>
        <rFont val="Arial"/>
        <family val="2"/>
      </rPr>
      <t>,VGAMaster</t>
    </r>
    <r>
      <rPr>
        <sz val="12"/>
        <rFont val="新細明體"/>
        <family val="1"/>
      </rPr>
      <t>同步更新</t>
    </r>
  </si>
  <si>
    <r>
      <t>5.</t>
    </r>
    <r>
      <rPr>
        <sz val="12"/>
        <rFont val="新細明體"/>
        <family val="1"/>
      </rPr>
      <t>更動</t>
    </r>
    <r>
      <rPr>
        <sz val="12"/>
        <rFont val="Arial"/>
        <family val="2"/>
      </rPr>
      <t xml:space="preserve">SLI </t>
    </r>
    <r>
      <rPr>
        <sz val="12"/>
        <rFont val="新細明體"/>
        <family val="1"/>
      </rPr>
      <t>與</t>
    </r>
    <r>
      <rPr>
        <sz val="12"/>
        <rFont val="Arial"/>
        <family val="2"/>
      </rPr>
      <t>Crossfire</t>
    </r>
    <r>
      <rPr>
        <sz val="12"/>
        <rFont val="新細明體"/>
        <family val="1"/>
      </rPr>
      <t>在三張以上的效率</t>
    </r>
    <r>
      <rPr>
        <sz val="12"/>
        <rFont val="Arial"/>
        <family val="2"/>
      </rPr>
      <t>,</t>
    </r>
    <r>
      <rPr>
        <sz val="12"/>
        <rFont val="新細明體"/>
        <family val="1"/>
      </rPr>
      <t>以前是等差級數</t>
    </r>
    <r>
      <rPr>
        <sz val="12"/>
        <rFont val="Arial"/>
        <family val="2"/>
      </rPr>
      <t>,</t>
    </r>
    <r>
      <rPr>
        <sz val="12"/>
        <rFont val="新細明體"/>
        <family val="1"/>
      </rPr>
      <t>現在改用對數關係</t>
    </r>
  </si>
  <si>
    <r>
      <t>6.9800GX2</t>
    </r>
    <r>
      <rPr>
        <sz val="12"/>
        <rFont val="新細明體"/>
        <family val="1"/>
      </rPr>
      <t>的效能在各大網站評比上或許不輸</t>
    </r>
    <r>
      <rPr>
        <sz val="12"/>
        <rFont val="Arial"/>
        <family val="2"/>
      </rPr>
      <t>GT200</t>
    </r>
    <r>
      <rPr>
        <sz val="12"/>
        <rFont val="新細明體"/>
        <family val="1"/>
      </rPr>
      <t>。但是</t>
    </r>
    <r>
      <rPr>
        <sz val="12"/>
        <rFont val="Arial"/>
        <family val="2"/>
      </rPr>
      <t>VGAMaster</t>
    </r>
    <r>
      <rPr>
        <sz val="12"/>
        <rFont val="新細明體"/>
        <family val="1"/>
      </rPr>
      <t>是考慮有相當部份不會被拿來評測的遊戲並不支援雙卡</t>
    </r>
    <r>
      <rPr>
        <sz val="12"/>
        <rFont val="Arial"/>
        <family val="2"/>
      </rPr>
      <t>/</t>
    </r>
    <r>
      <rPr>
        <sz val="12"/>
        <rFont val="新細明體"/>
        <family val="1"/>
      </rPr>
      <t>雙核心</t>
    </r>
    <r>
      <rPr>
        <sz val="12"/>
        <rFont val="Arial"/>
        <family val="2"/>
      </rPr>
      <t>,</t>
    </r>
    <r>
      <rPr>
        <sz val="12"/>
        <rFont val="新細明體"/>
        <family val="1"/>
      </rPr>
      <t>所以對</t>
    </r>
    <r>
      <rPr>
        <sz val="12"/>
        <rFont val="Arial"/>
        <family val="2"/>
      </rPr>
      <t>SLI/Crossfire</t>
    </r>
    <r>
      <rPr>
        <sz val="12"/>
        <rFont val="新細明體"/>
        <family val="1"/>
      </rPr>
      <t>都下了相當的罰則</t>
    </r>
    <r>
      <rPr>
        <sz val="12"/>
        <rFont val="Arial"/>
        <family val="2"/>
      </rPr>
      <t>.</t>
    </r>
  </si>
  <si>
    <r>
      <t>7.</t>
    </r>
    <r>
      <rPr>
        <sz val="12"/>
        <rFont val="新細明體"/>
        <family val="1"/>
      </rPr>
      <t>微幅修正某些顯示卡的耗電量</t>
    </r>
  </si>
  <si>
    <r>
      <t>0808</t>
    </r>
    <r>
      <rPr>
        <sz val="12"/>
        <rFont val="新細明體"/>
        <family val="1"/>
      </rPr>
      <t>更新</t>
    </r>
  </si>
  <si>
    <r>
      <t>1.</t>
    </r>
    <r>
      <rPr>
        <sz val="12"/>
        <rFont val="新細明體"/>
        <family val="1"/>
      </rPr>
      <t>雖然</t>
    </r>
    <r>
      <rPr>
        <sz val="12"/>
        <rFont val="Arial"/>
        <family val="2"/>
      </rPr>
      <t>HD4870X2</t>
    </r>
    <r>
      <rPr>
        <sz val="12"/>
        <rFont val="新細明體"/>
        <family val="1"/>
      </rPr>
      <t>還沒上事</t>
    </r>
    <r>
      <rPr>
        <sz val="12"/>
        <rFont val="Arial"/>
        <family val="2"/>
      </rPr>
      <t>,</t>
    </r>
    <r>
      <rPr>
        <sz val="12"/>
        <rFont val="新細明體"/>
        <family val="1"/>
      </rPr>
      <t>但是已經有很多評測出來所以新增</t>
    </r>
  </si>
  <si>
    <r>
      <t>2. 9800GT, 780G with sideport memory</t>
    </r>
    <r>
      <rPr>
        <sz val="12"/>
        <rFont val="新細明體"/>
        <family val="1"/>
      </rPr>
      <t>新上市</t>
    </r>
  </si>
  <si>
    <r>
      <t xml:space="preserve">3. </t>
    </r>
    <r>
      <rPr>
        <sz val="12"/>
        <rFont val="新細明體"/>
        <family val="1"/>
      </rPr>
      <t>因為新卡王又誕生</t>
    </r>
    <r>
      <rPr>
        <sz val="12"/>
        <rFont val="Arial"/>
        <family val="2"/>
      </rPr>
      <t>,</t>
    </r>
    <r>
      <rPr>
        <sz val="12"/>
        <rFont val="新細明體"/>
        <family val="1"/>
      </rPr>
      <t>所以舊卡分數通通下降</t>
    </r>
  </si>
  <si>
    <r>
      <t>4.</t>
    </r>
    <r>
      <rPr>
        <sz val="12"/>
        <rFont val="新細明體"/>
        <family val="1"/>
      </rPr>
      <t>增加待機耗電量的數據</t>
    </r>
  </si>
  <si>
    <r>
      <t>5.</t>
    </r>
    <r>
      <rPr>
        <sz val="12"/>
        <rFont val="新細明體"/>
        <family val="1"/>
      </rPr>
      <t>修正</t>
    </r>
    <r>
      <rPr>
        <sz val="12"/>
        <rFont val="Arial"/>
        <family val="2"/>
      </rPr>
      <t>9800GTX+</t>
    </r>
    <r>
      <rPr>
        <sz val="12"/>
        <rFont val="新細明體"/>
        <family val="1"/>
      </rPr>
      <t>的耗電量</t>
    </r>
  </si>
  <si>
    <r>
      <t>6.</t>
    </r>
    <r>
      <rPr>
        <sz val="12"/>
        <rFont val="新細明體"/>
        <family val="1"/>
      </rPr>
      <t>某些型號同時有兩個製程</t>
    </r>
    <r>
      <rPr>
        <sz val="12"/>
        <rFont val="Arial"/>
        <family val="2"/>
      </rPr>
      <t>,</t>
    </r>
    <r>
      <rPr>
        <sz val="12"/>
        <rFont val="新細明體"/>
        <family val="1"/>
      </rPr>
      <t>難以分辨</t>
    </r>
    <r>
      <rPr>
        <sz val="12"/>
        <rFont val="Arial"/>
        <family val="2"/>
      </rPr>
      <t>,</t>
    </r>
    <r>
      <rPr>
        <sz val="12"/>
        <rFont val="新細明體"/>
        <family val="1"/>
      </rPr>
      <t>所以打上問號</t>
    </r>
    <r>
      <rPr>
        <sz val="12"/>
        <rFont val="Arial"/>
        <family val="2"/>
      </rPr>
      <t>,</t>
    </r>
    <r>
      <rPr>
        <sz val="12"/>
        <rFont val="新細明體"/>
        <family val="1"/>
      </rPr>
      <t>同時耗電量也打上問號</t>
    </r>
    <r>
      <rPr>
        <sz val="12"/>
        <rFont val="Arial"/>
        <family val="2"/>
      </rPr>
      <t>.</t>
    </r>
    <r>
      <rPr>
        <sz val="12"/>
        <rFont val="新細明體"/>
        <family val="1"/>
      </rPr>
      <t>這問號的意思並不是我不知道</t>
    </r>
  </si>
  <si>
    <r>
      <t>7.Folding@home</t>
    </r>
    <r>
      <rPr>
        <sz val="12"/>
        <rFont val="新細明體"/>
        <family val="1"/>
      </rPr>
      <t>預估</t>
    </r>
    <r>
      <rPr>
        <sz val="12"/>
        <rFont val="Arial"/>
        <family val="2"/>
      </rPr>
      <t>PPD</t>
    </r>
    <r>
      <rPr>
        <sz val="12"/>
        <rFont val="新細明體"/>
        <family val="1"/>
      </rPr>
      <t>將更準確</t>
    </r>
    <r>
      <rPr>
        <sz val="12"/>
        <rFont val="Arial"/>
        <family val="2"/>
      </rPr>
      <t>, NV</t>
    </r>
    <r>
      <rPr>
        <sz val="12"/>
        <rFont val="新細明體"/>
        <family val="1"/>
      </rPr>
      <t>卡的誤差下降為</t>
    </r>
    <r>
      <rPr>
        <sz val="12"/>
        <rFont val="Arial"/>
        <family val="2"/>
      </rPr>
      <t>5%~10% AMD</t>
    </r>
    <r>
      <rPr>
        <sz val="12"/>
        <rFont val="新細明體"/>
        <family val="1"/>
      </rPr>
      <t>卡的誤差下降到</t>
    </r>
    <r>
      <rPr>
        <sz val="12"/>
        <rFont val="Arial"/>
        <family val="2"/>
      </rPr>
      <t>10%~20%,</t>
    </r>
    <r>
      <rPr>
        <sz val="12"/>
        <rFont val="新細明體"/>
        <family val="1"/>
      </rPr>
      <t>目前</t>
    </r>
    <r>
      <rPr>
        <sz val="12"/>
        <rFont val="Arial"/>
        <family val="2"/>
      </rPr>
      <t>AMD</t>
    </r>
    <r>
      <rPr>
        <sz val="12"/>
        <rFont val="新細明體"/>
        <family val="1"/>
      </rPr>
      <t>卡的公式是很難調整</t>
    </r>
    <r>
      <rPr>
        <sz val="12"/>
        <rFont val="Arial"/>
        <family val="2"/>
      </rPr>
      <t>(</t>
    </r>
    <r>
      <rPr>
        <sz val="12"/>
        <rFont val="新細明體"/>
        <family val="1"/>
      </rPr>
      <t>看完</t>
    </r>
    <r>
      <rPr>
        <sz val="12"/>
        <rFont val="Arial"/>
        <family val="2"/>
      </rPr>
      <t>F@H</t>
    </r>
    <r>
      <rPr>
        <sz val="12"/>
        <rFont val="新細明體"/>
        <family val="1"/>
      </rPr>
      <t>官方論壇整理列表還是霧颯颯</t>
    </r>
    <r>
      <rPr>
        <sz val="12"/>
        <rFont val="Arial"/>
        <family val="2"/>
      </rPr>
      <t>)</t>
    </r>
  </si>
  <si>
    <r>
      <t xml:space="preserve">   Antway, NV</t>
    </r>
    <r>
      <rPr>
        <sz val="12"/>
        <rFont val="新細明體"/>
        <family val="1"/>
      </rPr>
      <t>的公式我有實際用我的卡驗算過</t>
    </r>
    <r>
      <rPr>
        <sz val="12"/>
        <rFont val="Arial"/>
        <family val="2"/>
      </rPr>
      <t>,</t>
    </r>
    <r>
      <rPr>
        <sz val="12"/>
        <rFont val="新細明體"/>
        <family val="1"/>
      </rPr>
      <t>尤其在極端歪曲的調整時脈</t>
    </r>
    <r>
      <rPr>
        <sz val="12"/>
        <rFont val="Arial"/>
        <family val="2"/>
      </rPr>
      <t>(</t>
    </r>
    <r>
      <rPr>
        <sz val="12"/>
        <rFont val="新細明體"/>
        <family val="1"/>
      </rPr>
      <t>例如</t>
    </r>
    <r>
      <rPr>
        <sz val="12"/>
        <rFont val="Arial"/>
        <family val="2"/>
      </rPr>
      <t>Core RAM</t>
    </r>
    <r>
      <rPr>
        <sz val="12"/>
        <rFont val="新細明體"/>
        <family val="1"/>
      </rPr>
      <t>時脈直接降一半的方式</t>
    </r>
    <r>
      <rPr>
        <sz val="12"/>
        <rFont val="Arial"/>
        <family val="2"/>
      </rPr>
      <t>)</t>
    </r>
    <r>
      <rPr>
        <sz val="12"/>
        <rFont val="新細明體"/>
        <family val="1"/>
      </rPr>
      <t>還可以維持相當準確性</t>
    </r>
  </si>
  <si>
    <r>
      <t xml:space="preserve">  </t>
    </r>
    <r>
      <rPr>
        <sz val="12"/>
        <rFont val="新細明體"/>
        <family val="1"/>
      </rPr>
      <t>另外隨著雙卡支援</t>
    </r>
    <r>
      <rPr>
        <sz val="12"/>
        <rFont val="Arial"/>
        <family val="2"/>
      </rPr>
      <t xml:space="preserve"> </t>
    </r>
    <r>
      <rPr>
        <sz val="12"/>
        <rFont val="新細明體"/>
        <family val="1"/>
      </rPr>
      <t>目前表上</t>
    </r>
    <r>
      <rPr>
        <sz val="12"/>
        <rFont val="Arial"/>
        <family val="2"/>
      </rPr>
      <t>PPD</t>
    </r>
    <r>
      <rPr>
        <sz val="12"/>
        <rFont val="新細明體"/>
        <family val="1"/>
      </rPr>
      <t>最高的就是</t>
    </r>
    <r>
      <rPr>
        <sz val="12"/>
        <rFont val="Arial"/>
        <family val="2"/>
      </rPr>
      <t>9800GX2</t>
    </r>
  </si>
  <si>
    <r>
      <t>8.</t>
    </r>
    <r>
      <rPr>
        <sz val="12"/>
        <rFont val="新細明體"/>
        <family val="1"/>
      </rPr>
      <t>隱藏</t>
    </r>
    <r>
      <rPr>
        <sz val="12"/>
        <rFont val="Arial"/>
        <family val="2"/>
      </rPr>
      <t>9500GS,9400GS</t>
    </r>
    <r>
      <rPr>
        <sz val="12"/>
        <rFont val="新細明體"/>
        <family val="1"/>
      </rPr>
      <t>等沒見過的顯示卡</t>
    </r>
    <r>
      <rPr>
        <sz val="12"/>
        <rFont val="Arial"/>
        <family val="2"/>
      </rPr>
      <t>(</t>
    </r>
    <r>
      <rPr>
        <sz val="12"/>
        <rFont val="新細明體"/>
        <family val="1"/>
      </rPr>
      <t>不確定會不會出現</t>
    </r>
    <r>
      <rPr>
        <sz val="12"/>
        <rFont val="Arial"/>
        <family val="2"/>
      </rPr>
      <t>)</t>
    </r>
  </si>
  <si>
    <r>
      <t>9. 9500GT</t>
    </r>
    <r>
      <rPr>
        <sz val="12"/>
        <rFont val="新細明體"/>
        <family val="1"/>
      </rPr>
      <t>時脈更正</t>
    </r>
  </si>
  <si>
    <r>
      <t>0809</t>
    </r>
    <r>
      <rPr>
        <sz val="12"/>
        <rFont val="新細明體"/>
        <family val="1"/>
      </rPr>
      <t>更新</t>
    </r>
  </si>
  <si>
    <r>
      <t>1.</t>
    </r>
    <r>
      <rPr>
        <sz val="12"/>
        <rFont val="新細明體"/>
        <family val="1"/>
      </rPr>
      <t>修正</t>
    </r>
    <r>
      <rPr>
        <sz val="12"/>
        <rFont val="Arial"/>
        <family val="2"/>
      </rPr>
      <t>HD4870X2</t>
    </r>
    <r>
      <rPr>
        <sz val="12"/>
        <rFont val="新細明體"/>
        <family val="1"/>
      </rPr>
      <t>待機功耗</t>
    </r>
  </si>
  <si>
    <r>
      <t>2.</t>
    </r>
    <r>
      <rPr>
        <sz val="12"/>
        <rFont val="新細明體"/>
        <family val="1"/>
      </rPr>
      <t>新增</t>
    </r>
    <r>
      <rPr>
        <sz val="12"/>
        <rFont val="Arial"/>
        <family val="2"/>
      </rPr>
      <t>HD4850X2</t>
    </r>
    <r>
      <rPr>
        <sz val="12"/>
        <rFont val="新細明體"/>
        <family val="1"/>
      </rPr>
      <t>資料</t>
    </r>
    <r>
      <rPr>
        <sz val="12"/>
        <rFont val="Arial"/>
        <family val="2"/>
      </rPr>
      <t>,</t>
    </r>
    <r>
      <rPr>
        <sz val="12"/>
        <rFont val="新細明體"/>
        <family val="1"/>
      </rPr>
      <t>與長久以來被遺忘的顯示卡</t>
    </r>
    <r>
      <rPr>
        <sz val="12"/>
        <rFont val="Arial"/>
        <family val="2"/>
      </rPr>
      <t>:HD2900GT</t>
    </r>
  </si>
  <si>
    <r>
      <t>3. X1250</t>
    </r>
    <r>
      <rPr>
        <sz val="12"/>
        <rFont val="新細明體"/>
        <family val="1"/>
      </rPr>
      <t>名字更改為大家比較熟悉的</t>
    </r>
    <r>
      <rPr>
        <sz val="12"/>
        <rFont val="Arial"/>
        <family val="2"/>
      </rPr>
      <t>690G</t>
    </r>
  </si>
  <si>
    <r>
      <t>4.GPU</t>
    </r>
    <r>
      <rPr>
        <sz val="12"/>
        <rFont val="新細明體"/>
        <family val="1"/>
      </rPr>
      <t>數量受到限制以符合</t>
    </r>
    <r>
      <rPr>
        <sz val="12"/>
        <rFont val="Arial"/>
        <family val="2"/>
      </rPr>
      <t>Crossfire</t>
    </r>
    <r>
      <rPr>
        <sz val="12"/>
        <rFont val="新細明體"/>
        <family val="1"/>
      </rPr>
      <t>與</t>
    </r>
    <r>
      <rPr>
        <sz val="12"/>
        <rFont val="Arial"/>
        <family val="2"/>
      </rPr>
      <t>SLI</t>
    </r>
    <r>
      <rPr>
        <sz val="12"/>
        <rFont val="新細明體"/>
        <family val="1"/>
      </rPr>
      <t>使用狀況</t>
    </r>
    <r>
      <rPr>
        <sz val="12"/>
        <rFont val="Arial"/>
        <family val="2"/>
      </rPr>
      <t>,</t>
    </r>
    <r>
      <rPr>
        <sz val="12"/>
        <rFont val="新細明體"/>
        <family val="1"/>
      </rPr>
      <t>第一只允許輸入整數</t>
    </r>
    <r>
      <rPr>
        <sz val="12"/>
        <rFont val="Arial"/>
        <family val="2"/>
      </rPr>
      <t>,</t>
    </r>
    <r>
      <rPr>
        <sz val="12"/>
        <rFont val="新細明體"/>
        <family val="1"/>
      </rPr>
      <t>第二如果輸出超出上限範圍以上限數量計算</t>
    </r>
    <r>
      <rPr>
        <sz val="12"/>
        <rFont val="Arial"/>
        <family val="2"/>
      </rPr>
      <t>(F@H</t>
    </r>
    <r>
      <rPr>
        <sz val="12"/>
        <rFont val="新細明體"/>
        <family val="1"/>
      </rPr>
      <t>運算將不受限制</t>
    </r>
    <r>
      <rPr>
        <sz val="12"/>
        <rFont val="Arial"/>
        <family val="2"/>
      </rPr>
      <t>),</t>
    </r>
    <r>
      <rPr>
        <sz val="12"/>
        <rFont val="新細明體"/>
        <family val="1"/>
      </rPr>
      <t>第三</t>
    </r>
    <r>
      <rPr>
        <sz val="12"/>
        <rFont val="Arial"/>
        <family val="2"/>
      </rPr>
      <t>GX2</t>
    </r>
    <r>
      <rPr>
        <sz val="12"/>
        <rFont val="新細明體"/>
        <family val="1"/>
      </rPr>
      <t>顯示卡不接受輸入奇數</t>
    </r>
  </si>
  <si>
    <r>
      <t>5.</t>
    </r>
    <r>
      <rPr>
        <sz val="12"/>
        <rFont val="新細明體"/>
        <family val="1"/>
      </rPr>
      <t>調整</t>
    </r>
    <r>
      <rPr>
        <sz val="12"/>
        <rFont val="Arial"/>
        <family val="2"/>
      </rPr>
      <t>GTX260 F@H</t>
    </r>
    <r>
      <rPr>
        <sz val="12"/>
        <rFont val="新細明體"/>
        <family val="1"/>
      </rPr>
      <t>的</t>
    </r>
    <r>
      <rPr>
        <sz val="12"/>
        <rFont val="Arial"/>
        <family val="2"/>
      </rPr>
      <t>PPD</t>
    </r>
  </si>
  <si>
    <r>
      <t>6. Geforce 9800GT hybrid power</t>
    </r>
    <r>
      <rPr>
        <sz val="12"/>
        <rFont val="新細明體"/>
        <family val="1"/>
      </rPr>
      <t>字拼錯</t>
    </r>
    <r>
      <rPr>
        <sz val="12"/>
        <rFont val="Arial"/>
        <family val="2"/>
      </rPr>
      <t>,</t>
    </r>
    <r>
      <rPr>
        <sz val="12"/>
        <rFont val="新細明體"/>
        <family val="1"/>
      </rPr>
      <t>修正</t>
    </r>
  </si>
  <si>
    <r>
      <t>7.GT200b</t>
    </r>
    <r>
      <rPr>
        <sz val="12"/>
        <rFont val="新細明體"/>
        <family val="1"/>
      </rPr>
      <t>資料作廢</t>
    </r>
  </si>
  <si>
    <r>
      <t>0810</t>
    </r>
    <r>
      <rPr>
        <sz val="12"/>
        <rFont val="新細明體"/>
        <family val="1"/>
      </rPr>
      <t>更新</t>
    </r>
  </si>
  <si>
    <r>
      <t>1.</t>
    </r>
    <r>
      <rPr>
        <sz val="12"/>
        <rFont val="新細明體"/>
        <family val="1"/>
      </rPr>
      <t>除</t>
    </r>
    <r>
      <rPr>
        <sz val="12"/>
        <rFont val="Arial"/>
        <family val="2"/>
      </rPr>
      <t>Radeon HD4750(</t>
    </r>
    <r>
      <rPr>
        <sz val="12"/>
        <rFont val="新細明體"/>
        <family val="1"/>
      </rPr>
      <t>未確認消息</t>
    </r>
    <r>
      <rPr>
        <sz val="12"/>
        <rFont val="Arial"/>
        <family val="2"/>
      </rPr>
      <t xml:space="preserve">) </t>
    </r>
    <r>
      <rPr>
        <sz val="12"/>
        <rFont val="新細明體"/>
        <family val="1"/>
      </rPr>
      <t>之外</t>
    </r>
    <r>
      <rPr>
        <sz val="12"/>
        <rFont val="Arial"/>
        <family val="2"/>
      </rPr>
      <t>,AMD 4</t>
    </r>
    <r>
      <rPr>
        <sz val="12"/>
        <rFont val="新細明體"/>
        <family val="1"/>
      </rPr>
      <t>系列到齊</t>
    </r>
    <r>
      <rPr>
        <sz val="12"/>
        <rFont val="Arial"/>
        <family val="2"/>
      </rPr>
      <t>(</t>
    </r>
    <r>
      <rPr>
        <sz val="12"/>
        <rFont val="新細明體"/>
        <family val="1"/>
      </rPr>
      <t>一些中階的新卡沒人跑過</t>
    </r>
    <r>
      <rPr>
        <sz val="12"/>
        <rFont val="Arial"/>
        <family val="2"/>
      </rPr>
      <t>F@H,</t>
    </r>
    <r>
      <rPr>
        <sz val="12"/>
        <rFont val="新細明體"/>
        <family val="1"/>
      </rPr>
      <t>所以目前</t>
    </r>
    <r>
      <rPr>
        <sz val="12"/>
        <rFont val="Arial"/>
        <family val="2"/>
      </rPr>
      <t>PPD</t>
    </r>
    <r>
      <rPr>
        <sz val="12"/>
        <rFont val="新細明體"/>
        <family val="1"/>
      </rPr>
      <t>先套用舊公式</t>
    </r>
    <r>
      <rPr>
        <sz val="12"/>
        <rFont val="Arial"/>
        <family val="2"/>
      </rPr>
      <t>)</t>
    </r>
  </si>
  <si>
    <r>
      <t>2.</t>
    </r>
    <r>
      <rPr>
        <sz val="12"/>
        <rFont val="新細明體"/>
        <family val="1"/>
      </rPr>
      <t>增加</t>
    </r>
    <r>
      <rPr>
        <sz val="12"/>
        <rFont val="Arial"/>
        <family val="2"/>
      </rPr>
      <t>790GX</t>
    </r>
    <r>
      <rPr>
        <sz val="12"/>
        <rFont val="新細明體"/>
        <family val="1"/>
      </rPr>
      <t>內建顯示的資訊</t>
    </r>
  </si>
  <si>
    <r>
      <t>3.</t>
    </r>
    <r>
      <rPr>
        <sz val="12"/>
        <rFont val="新細明體"/>
        <family val="1"/>
      </rPr>
      <t>增加</t>
    </r>
    <r>
      <rPr>
        <sz val="12"/>
        <rFont val="Arial"/>
        <family val="2"/>
      </rPr>
      <t>9400GT ,9300GS 9300GE</t>
    </r>
  </si>
  <si>
    <r>
      <t>4.</t>
    </r>
    <r>
      <rPr>
        <sz val="12"/>
        <rFont val="新細明體"/>
        <family val="1"/>
      </rPr>
      <t>增加</t>
    </r>
    <r>
      <rPr>
        <sz val="12"/>
        <rFont val="Arial"/>
        <family val="2"/>
      </rPr>
      <t xml:space="preserve">Geforce GTX 260 Core216 </t>
    </r>
  </si>
  <si>
    <r>
      <t>5.</t>
    </r>
    <r>
      <rPr>
        <sz val="12"/>
        <rFont val="新細明體"/>
        <family val="1"/>
      </rPr>
      <t>調整計分方式</t>
    </r>
    <r>
      <rPr>
        <sz val="12"/>
        <rFont val="Arial"/>
        <family val="2"/>
      </rPr>
      <t>,</t>
    </r>
    <r>
      <rPr>
        <sz val="12"/>
        <rFont val="新細明體"/>
        <family val="1"/>
      </rPr>
      <t>降低</t>
    </r>
    <r>
      <rPr>
        <sz val="12"/>
        <rFont val="Arial"/>
        <family val="2"/>
      </rPr>
      <t>ROPs</t>
    </r>
    <r>
      <rPr>
        <sz val="12"/>
        <rFont val="新細明體"/>
        <family val="1"/>
      </rPr>
      <t>的所佔比重</t>
    </r>
  </si>
  <si>
    <r>
      <t>0811</t>
    </r>
    <r>
      <rPr>
        <sz val="12"/>
        <rFont val="新細明體"/>
        <family val="1"/>
      </rPr>
      <t>更新</t>
    </r>
  </si>
  <si>
    <r>
      <t>1.HD4</t>
    </r>
    <r>
      <rPr>
        <sz val="12"/>
        <rFont val="新細明體"/>
        <family val="1"/>
      </rPr>
      <t>系列性能公式改回跟</t>
    </r>
    <r>
      <rPr>
        <sz val="12"/>
        <rFont val="Arial"/>
        <family val="2"/>
      </rPr>
      <t>HD3</t>
    </r>
    <r>
      <rPr>
        <sz val="12"/>
        <rFont val="新細明體"/>
        <family val="1"/>
      </rPr>
      <t>系列一模一樣</t>
    </r>
  </si>
  <si>
    <r>
      <t>2.</t>
    </r>
    <r>
      <rPr>
        <sz val="12"/>
        <rFont val="新細明體"/>
        <family val="1"/>
      </rPr>
      <t>增加</t>
    </r>
    <r>
      <rPr>
        <sz val="12"/>
        <rFont val="Arial"/>
        <family val="2"/>
      </rPr>
      <t>Geforce9300/9400 IGP</t>
    </r>
    <r>
      <rPr>
        <sz val="12"/>
        <rFont val="新細明體"/>
        <family val="1"/>
      </rPr>
      <t>主機板內建顯示資訊</t>
    </r>
    <r>
      <rPr>
        <sz val="12"/>
        <rFont val="Arial"/>
        <family val="2"/>
      </rPr>
      <t>,</t>
    </r>
  </si>
  <si>
    <r>
      <t>3.</t>
    </r>
    <r>
      <rPr>
        <sz val="12"/>
        <rFont val="新細明體"/>
        <family val="1"/>
      </rPr>
      <t>增加</t>
    </r>
    <r>
      <rPr>
        <sz val="12"/>
        <rFont val="Arial"/>
        <family val="2"/>
      </rPr>
      <t>Geforce 9600GSO 512MB</t>
    </r>
    <r>
      <rPr>
        <sz val="12"/>
        <rFont val="新細明體"/>
        <family val="1"/>
      </rPr>
      <t>資訊</t>
    </r>
    <r>
      <rPr>
        <sz val="12"/>
        <rFont val="Arial"/>
        <family val="2"/>
      </rPr>
      <t>,</t>
    </r>
    <r>
      <rPr>
        <sz val="12"/>
        <rFont val="新細明體"/>
        <family val="1"/>
      </rPr>
      <t>而原先等同</t>
    </r>
    <r>
      <rPr>
        <sz val="12"/>
        <rFont val="Arial"/>
        <family val="2"/>
      </rPr>
      <t>8800GS</t>
    </r>
    <r>
      <rPr>
        <sz val="12"/>
        <rFont val="新細明體"/>
        <family val="1"/>
      </rPr>
      <t>版本</t>
    </r>
    <r>
      <rPr>
        <sz val="12"/>
        <rFont val="Arial"/>
        <family val="2"/>
      </rPr>
      <t>,</t>
    </r>
    <r>
      <rPr>
        <sz val="12"/>
        <rFont val="新細明體"/>
        <family val="1"/>
      </rPr>
      <t>名稱加注</t>
    </r>
    <r>
      <rPr>
        <sz val="12"/>
        <rFont val="Arial"/>
        <family val="2"/>
      </rPr>
      <t xml:space="preserve"> 384MB</t>
    </r>
  </si>
  <si>
    <r>
      <t>4.</t>
    </r>
    <r>
      <rPr>
        <sz val="12"/>
        <rFont val="新細明體"/>
        <family val="1"/>
      </rPr>
      <t>修正某些高階卡的功耗</t>
    </r>
    <r>
      <rPr>
        <sz val="12"/>
        <rFont val="Arial"/>
        <family val="2"/>
      </rPr>
      <t>,</t>
    </r>
    <r>
      <rPr>
        <sz val="12"/>
        <rFont val="新細明體"/>
        <family val="1"/>
      </rPr>
      <t>尤其是</t>
    </r>
    <r>
      <rPr>
        <sz val="12"/>
        <rFont val="Arial"/>
        <family val="2"/>
      </rPr>
      <t>HD4850;</t>
    </r>
    <r>
      <rPr>
        <sz val="12"/>
        <rFont val="新細明體"/>
        <family val="1"/>
      </rPr>
      <t>再提醒一次</t>
    </r>
    <r>
      <rPr>
        <sz val="12"/>
        <rFont val="Arial"/>
        <family val="2"/>
      </rPr>
      <t>,</t>
    </r>
    <r>
      <rPr>
        <sz val="12"/>
        <rFont val="新細明體"/>
        <family val="1"/>
      </rPr>
      <t>這些最大功耗就是針對電源供應器的參考重要數值</t>
    </r>
  </si>
  <si>
    <r>
      <t>5.</t>
    </r>
    <r>
      <rPr>
        <sz val="12"/>
        <rFont val="新細明體"/>
        <family val="1"/>
      </rPr>
      <t>因應</t>
    </r>
    <r>
      <rPr>
        <sz val="12"/>
        <rFont val="Arial"/>
        <family val="2"/>
      </rPr>
      <t>Folding@Home</t>
    </r>
    <r>
      <rPr>
        <sz val="12"/>
        <rFont val="新細明體"/>
        <family val="1"/>
      </rPr>
      <t>這個月有更新數次的</t>
    </r>
    <r>
      <rPr>
        <sz val="12"/>
        <rFont val="Arial"/>
        <family val="2"/>
      </rPr>
      <t xml:space="preserve">Core, </t>
    </r>
    <r>
      <rPr>
        <sz val="12"/>
        <rFont val="新細明體"/>
        <family val="1"/>
      </rPr>
      <t>列表</t>
    </r>
    <r>
      <rPr>
        <sz val="12"/>
        <rFont val="Arial"/>
        <family val="2"/>
      </rPr>
      <t>PPD</t>
    </r>
    <r>
      <rPr>
        <sz val="12"/>
        <rFont val="新細明體"/>
        <family val="1"/>
      </rPr>
      <t>數值不只是更新了</t>
    </r>
    <r>
      <rPr>
        <sz val="12"/>
        <rFont val="Arial"/>
        <family val="2"/>
      </rPr>
      <t>,</t>
    </r>
    <r>
      <rPr>
        <sz val="12"/>
        <rFont val="新細明體"/>
        <family val="1"/>
      </rPr>
      <t>公式也整個重寫</t>
    </r>
  </si>
  <si>
    <r>
      <t xml:space="preserve">  </t>
    </r>
    <r>
      <rPr>
        <sz val="12"/>
        <rFont val="新細明體"/>
        <family val="1"/>
      </rPr>
      <t>目前所有顯示卡都使用同一個公式了</t>
    </r>
    <r>
      <rPr>
        <sz val="12"/>
        <rFont val="Arial"/>
        <family val="2"/>
      </rPr>
      <t>,</t>
    </r>
    <r>
      <rPr>
        <sz val="12"/>
        <rFont val="新細明體"/>
        <family val="1"/>
      </rPr>
      <t>而不是針對每個顯示卡個別調整係數</t>
    </r>
  </si>
  <si>
    <r>
      <t>6.PS3 Folding@home PPD</t>
    </r>
    <r>
      <rPr>
        <sz val="12"/>
        <rFont val="新細明體"/>
        <family val="1"/>
      </rPr>
      <t>值更正為</t>
    </r>
    <r>
      <rPr>
        <sz val="12"/>
        <rFont val="Arial"/>
        <family val="2"/>
      </rPr>
      <t>2700</t>
    </r>
  </si>
  <si>
    <r>
      <t>0812</t>
    </r>
    <r>
      <rPr>
        <sz val="12"/>
        <rFont val="新細明體"/>
        <family val="1"/>
      </rPr>
      <t>更新</t>
    </r>
  </si>
  <si>
    <r>
      <t>1.</t>
    </r>
    <r>
      <rPr>
        <sz val="12"/>
        <rFont val="新細明體"/>
        <family val="1"/>
      </rPr>
      <t>有</t>
    </r>
    <r>
      <rPr>
        <sz val="12"/>
        <rFont val="Arial"/>
        <family val="2"/>
      </rPr>
      <t>GTX260X2(</t>
    </r>
    <r>
      <rPr>
        <sz val="12"/>
        <rFont val="新細明體"/>
        <family val="1"/>
      </rPr>
      <t>名稱暫定</t>
    </r>
    <r>
      <rPr>
        <sz val="12"/>
        <rFont val="Arial"/>
        <family val="2"/>
      </rPr>
      <t>)</t>
    </r>
    <r>
      <rPr>
        <sz val="12"/>
        <rFont val="新細明體"/>
        <family val="1"/>
      </rPr>
      <t>的資訊了</t>
    </r>
  </si>
  <si>
    <r>
      <t>2.</t>
    </r>
    <r>
      <rPr>
        <sz val="12"/>
        <rFont val="新細明體"/>
        <family val="1"/>
      </rPr>
      <t>因應許多針對</t>
    </r>
    <r>
      <rPr>
        <sz val="12"/>
        <rFont val="Arial"/>
        <family val="2"/>
      </rPr>
      <t xml:space="preserve">Nvidia </t>
    </r>
    <r>
      <rPr>
        <sz val="12"/>
        <rFont val="新細明體"/>
        <family val="1"/>
      </rPr>
      <t>的新</t>
    </r>
    <r>
      <rPr>
        <sz val="12"/>
        <rFont val="Arial"/>
        <family val="2"/>
      </rPr>
      <t>Project,</t>
    </r>
    <r>
      <rPr>
        <sz val="12"/>
        <rFont val="新細明體"/>
        <family val="1"/>
      </rPr>
      <t>針對</t>
    </r>
    <r>
      <rPr>
        <sz val="12"/>
        <rFont val="Arial"/>
        <family val="2"/>
      </rPr>
      <t>Nvidia Folding@Home</t>
    </r>
    <r>
      <rPr>
        <sz val="12"/>
        <rFont val="新細明體"/>
        <family val="1"/>
      </rPr>
      <t>的</t>
    </r>
    <r>
      <rPr>
        <sz val="12"/>
        <rFont val="Arial"/>
        <family val="2"/>
      </rPr>
      <t>PPD</t>
    </r>
    <r>
      <rPr>
        <sz val="12"/>
        <rFont val="新細明體"/>
        <family val="1"/>
      </rPr>
      <t>直做了調整</t>
    </r>
  </si>
  <si>
    <r>
      <t>0901</t>
    </r>
    <r>
      <rPr>
        <sz val="12"/>
        <rFont val="新細明體"/>
        <family val="1"/>
      </rPr>
      <t>更新</t>
    </r>
  </si>
  <si>
    <r>
      <t>1.</t>
    </r>
    <r>
      <rPr>
        <sz val="12"/>
        <rFont val="新細明體"/>
        <family val="1"/>
      </rPr>
      <t>版面配置修正</t>
    </r>
    <r>
      <rPr>
        <sz val="12"/>
        <rFont val="Arial"/>
        <family val="2"/>
      </rPr>
      <t>,</t>
    </r>
    <r>
      <rPr>
        <sz val="12"/>
        <rFont val="新細明體"/>
        <family val="1"/>
      </rPr>
      <t>可以利用</t>
    </r>
    <r>
      <rPr>
        <sz val="12"/>
        <rFont val="Arial"/>
        <family val="2"/>
      </rPr>
      <t>Excel</t>
    </r>
    <r>
      <rPr>
        <sz val="12"/>
        <rFont val="新細明體"/>
        <family val="1"/>
      </rPr>
      <t>的篩選</t>
    </r>
    <r>
      <rPr>
        <sz val="12"/>
        <rFont val="Arial"/>
        <family val="2"/>
      </rPr>
      <t>,</t>
    </r>
    <r>
      <rPr>
        <sz val="12"/>
        <rFont val="新細明體"/>
        <family val="1"/>
      </rPr>
      <t>排序功能了</t>
    </r>
    <r>
      <rPr>
        <sz val="12"/>
        <rFont val="Arial"/>
        <family val="2"/>
      </rPr>
      <t>;</t>
    </r>
    <r>
      <rPr>
        <sz val="12"/>
        <rFont val="新細明體"/>
        <family val="1"/>
      </rPr>
      <t>因應篩選功能</t>
    </r>
    <r>
      <rPr>
        <sz val="12"/>
        <rFont val="Arial"/>
        <family val="2"/>
      </rPr>
      <t>,</t>
    </r>
    <r>
      <rPr>
        <sz val="12"/>
        <rFont val="新細明體"/>
        <family val="1"/>
      </rPr>
      <t>有些欄位的單位改用欄位格式的方式在附加</t>
    </r>
    <r>
      <rPr>
        <sz val="12"/>
        <rFont val="Arial"/>
        <family val="2"/>
      </rPr>
      <t>,</t>
    </r>
    <r>
      <rPr>
        <sz val="12"/>
        <rFont val="新細明體"/>
        <family val="1"/>
      </rPr>
      <t>會影響敘述兩兩個</t>
    </r>
    <r>
      <rPr>
        <sz val="12"/>
        <rFont val="Arial"/>
        <family val="2"/>
      </rPr>
      <t>;</t>
    </r>
  </si>
  <si>
    <r>
      <t xml:space="preserve"> (1)</t>
    </r>
    <r>
      <rPr>
        <sz val="12"/>
        <rFont val="新細明體"/>
        <family val="1"/>
      </rPr>
      <t>對多核卡而言記憶體顯示有效記憶體容量</t>
    </r>
    <r>
      <rPr>
        <sz val="12"/>
        <rFont val="Arial"/>
        <family val="2"/>
      </rPr>
      <t xml:space="preserve"> (2)</t>
    </r>
    <r>
      <rPr>
        <sz val="12"/>
        <rFont val="新細明體"/>
        <family val="1"/>
      </rPr>
      <t>電晶體數量顯示所有</t>
    </r>
    <r>
      <rPr>
        <sz val="12"/>
        <rFont val="Arial"/>
        <family val="2"/>
      </rPr>
      <t>GPU</t>
    </r>
    <r>
      <rPr>
        <sz val="12"/>
        <rFont val="新細明體"/>
        <family val="1"/>
      </rPr>
      <t>總合</t>
    </r>
  </si>
  <si>
    <r>
      <t xml:space="preserve">2.GTX295, GTX285, GTX260 55nm </t>
    </r>
    <r>
      <rPr>
        <sz val="12"/>
        <rFont val="新細明體"/>
        <family val="1"/>
      </rPr>
      <t>正式發布</t>
    </r>
    <r>
      <rPr>
        <sz val="12"/>
        <rFont val="Arial"/>
        <family val="2"/>
      </rPr>
      <t>, GTX295</t>
    </r>
    <r>
      <rPr>
        <sz val="12"/>
        <rFont val="新細明體"/>
        <family val="1"/>
      </rPr>
      <t>為新任王卡</t>
    </r>
    <r>
      <rPr>
        <sz val="12"/>
        <rFont val="Arial"/>
        <family val="2"/>
      </rPr>
      <t>;</t>
    </r>
    <r>
      <rPr>
        <sz val="12"/>
        <rFont val="新細明體"/>
        <family val="1"/>
      </rPr>
      <t>因應新王卡上任</t>
    </r>
    <r>
      <rPr>
        <sz val="12"/>
        <rFont val="Arial"/>
        <family val="2"/>
      </rPr>
      <t>,</t>
    </r>
    <r>
      <rPr>
        <sz val="12"/>
        <rFont val="新細明體"/>
        <family val="1"/>
      </rPr>
      <t>所有舊卡分數往下調整</t>
    </r>
  </si>
  <si>
    <r>
      <t>3.</t>
    </r>
    <r>
      <rPr>
        <sz val="12"/>
        <rFont val="新細明體"/>
        <family val="1"/>
      </rPr>
      <t>微調某些極高耗電卡的最大功耗</t>
    </r>
  </si>
  <si>
    <r>
      <t>4.</t>
    </r>
    <r>
      <rPr>
        <sz val="12"/>
        <rFont val="新細明體"/>
        <family val="1"/>
      </rPr>
      <t>新增</t>
    </r>
    <r>
      <rPr>
        <sz val="12"/>
        <rFont val="Arial"/>
        <family val="2"/>
      </rPr>
      <t>RV740, GT212, GT214, GT216, GT218</t>
    </r>
    <r>
      <rPr>
        <sz val="12"/>
        <rFont val="新細明體"/>
        <family val="1"/>
      </rPr>
      <t>的隱藏資訊</t>
    </r>
    <r>
      <rPr>
        <sz val="12"/>
        <rFont val="Arial"/>
        <family val="2"/>
      </rPr>
      <t>,</t>
    </r>
    <r>
      <rPr>
        <sz val="12"/>
        <rFont val="新細明體"/>
        <family val="1"/>
      </rPr>
      <t>注意隱藏資訊只是大概</t>
    </r>
  </si>
  <si>
    <r>
      <t>5.</t>
    </r>
    <r>
      <rPr>
        <sz val="12"/>
        <rFont val="新細明體"/>
        <family val="1"/>
      </rPr>
      <t>移除</t>
    </r>
    <r>
      <rPr>
        <sz val="12"/>
        <rFont val="Arial"/>
        <family val="2"/>
      </rPr>
      <t>Gefoece 9550GT</t>
    </r>
    <r>
      <rPr>
        <sz val="12"/>
        <rFont val="新細明體"/>
        <family val="1"/>
      </rPr>
      <t>的資料</t>
    </r>
  </si>
  <si>
    <r>
      <t>6.</t>
    </r>
    <r>
      <rPr>
        <sz val="12"/>
        <rFont val="新細明體"/>
        <family val="1"/>
      </rPr>
      <t>調整各卡</t>
    </r>
    <r>
      <rPr>
        <sz val="12"/>
        <rFont val="Arial"/>
        <family val="2"/>
      </rPr>
      <t>F@H</t>
    </r>
    <r>
      <rPr>
        <sz val="12"/>
        <rFont val="新細明體"/>
        <family val="1"/>
      </rPr>
      <t>估算值</t>
    </r>
  </si>
  <si>
    <r>
      <t>7.</t>
    </r>
    <r>
      <rPr>
        <sz val="12"/>
        <rFont val="新細明體"/>
        <family val="1"/>
      </rPr>
      <t>微幅修正一些低階卡的長度</t>
    </r>
    <r>
      <rPr>
        <sz val="12"/>
        <rFont val="Arial"/>
        <family val="2"/>
      </rPr>
      <t>(</t>
    </r>
    <r>
      <rPr>
        <sz val="12"/>
        <rFont val="新細明體"/>
        <family val="1"/>
      </rPr>
      <t>因為</t>
    </r>
    <r>
      <rPr>
        <sz val="12"/>
        <rFont val="Arial"/>
        <family val="2"/>
      </rPr>
      <t>NV</t>
    </r>
    <r>
      <rPr>
        <sz val="12"/>
        <rFont val="新細明體"/>
        <family val="1"/>
      </rPr>
      <t>在官網上公開顯示卡的大小</t>
    </r>
    <r>
      <rPr>
        <sz val="12"/>
        <rFont val="Arial"/>
        <family val="2"/>
      </rPr>
      <t xml:space="preserve">) </t>
    </r>
  </si>
  <si>
    <r>
      <t>8.</t>
    </r>
    <r>
      <rPr>
        <sz val="12"/>
        <rFont val="新細明體"/>
        <family val="1"/>
      </rPr>
      <t>修正</t>
    </r>
    <r>
      <rPr>
        <sz val="12"/>
        <rFont val="Arial"/>
        <family val="2"/>
      </rPr>
      <t>9800GT GPU</t>
    </r>
    <r>
      <rPr>
        <sz val="12"/>
        <rFont val="新細明體"/>
        <family val="1"/>
      </rPr>
      <t>串聯數量的上限</t>
    </r>
  </si>
  <si>
    <r>
      <t>0902</t>
    </r>
    <r>
      <rPr>
        <sz val="12"/>
        <rFont val="新細明體"/>
        <family val="1"/>
      </rPr>
      <t>更新</t>
    </r>
  </si>
  <si>
    <r>
      <t>1.</t>
    </r>
    <r>
      <rPr>
        <sz val="12"/>
        <rFont val="新細明體"/>
        <family val="1"/>
      </rPr>
      <t>直接將版本與更新與智慧財產權聲明頁面置入</t>
    </r>
    <r>
      <rPr>
        <sz val="12"/>
        <rFont val="Arial"/>
        <family val="2"/>
      </rPr>
      <t>VGAMaster</t>
    </r>
    <r>
      <rPr>
        <sz val="12"/>
        <rFont val="新細明體"/>
        <family val="1"/>
      </rPr>
      <t>文件</t>
    </r>
  </si>
  <si>
    <r>
      <t>2.</t>
    </r>
    <r>
      <rPr>
        <sz val="12"/>
        <rFont val="新細明體"/>
        <family val="1"/>
      </rPr>
      <t>內建</t>
    </r>
    <r>
      <rPr>
        <sz val="12"/>
        <rFont val="Arial"/>
        <family val="2"/>
      </rPr>
      <t>FoldingCost</t>
    </r>
    <r>
      <rPr>
        <sz val="12"/>
        <rFont val="新細明體"/>
        <family val="1"/>
      </rPr>
      <t>供</t>
    </r>
    <r>
      <rPr>
        <sz val="12"/>
        <rFont val="Arial"/>
        <family val="2"/>
      </rPr>
      <t>Folding@Home</t>
    </r>
    <r>
      <rPr>
        <sz val="12"/>
        <rFont val="新細明體"/>
        <family val="1"/>
      </rPr>
      <t>參與者使用</t>
    </r>
    <r>
      <rPr>
        <sz val="12"/>
        <rFont val="Arial"/>
        <family val="2"/>
      </rPr>
      <t>,</t>
    </r>
    <r>
      <rPr>
        <sz val="12"/>
        <rFont val="新細明體"/>
        <family val="1"/>
      </rPr>
      <t>請多多利用</t>
    </r>
  </si>
  <si>
    <r>
      <t>3.</t>
    </r>
    <r>
      <rPr>
        <sz val="12"/>
        <rFont val="新細明體"/>
        <family val="1"/>
      </rPr>
      <t>挑整效能估算分數</t>
    </r>
    <r>
      <rPr>
        <sz val="12"/>
        <rFont val="Arial"/>
        <family val="2"/>
      </rPr>
      <t>:</t>
    </r>
    <r>
      <rPr>
        <sz val="12"/>
        <rFont val="新細明體"/>
        <family val="1"/>
      </rPr>
      <t>增加</t>
    </r>
    <r>
      <rPr>
        <sz val="12"/>
        <rFont val="Arial"/>
        <family val="2"/>
      </rPr>
      <t>Shader</t>
    </r>
    <r>
      <rPr>
        <sz val="12"/>
        <rFont val="新細明體"/>
        <family val="1"/>
      </rPr>
      <t>所佔比重</t>
    </r>
    <r>
      <rPr>
        <sz val="12"/>
        <rFont val="Arial"/>
        <family val="2"/>
      </rPr>
      <t>;</t>
    </r>
    <r>
      <rPr>
        <sz val="12"/>
        <rFont val="新細明體"/>
        <family val="1"/>
      </rPr>
      <t>強化些卡的多卡效能</t>
    </r>
    <r>
      <rPr>
        <sz val="12"/>
        <rFont val="Arial"/>
        <family val="2"/>
      </rPr>
      <t>;</t>
    </r>
    <r>
      <rPr>
        <sz val="12"/>
        <rFont val="新細明體"/>
        <family val="1"/>
      </rPr>
      <t>以及正式把</t>
    </r>
    <r>
      <rPr>
        <sz val="12"/>
        <rFont val="Arial"/>
        <family val="2"/>
      </rPr>
      <t>DDR</t>
    </r>
    <r>
      <rPr>
        <sz val="12"/>
        <rFont val="新細明體"/>
        <family val="1"/>
      </rPr>
      <t>種類列入計算</t>
    </r>
  </si>
  <si>
    <r>
      <t>4.Folding@Home PPD</t>
    </r>
    <r>
      <rPr>
        <sz val="12"/>
        <rFont val="新細明體"/>
        <family val="1"/>
      </rPr>
      <t>估算將更為精準</t>
    </r>
    <r>
      <rPr>
        <sz val="12"/>
        <rFont val="Arial"/>
        <family val="2"/>
      </rPr>
      <t>,</t>
    </r>
    <r>
      <rPr>
        <sz val="12"/>
        <rFont val="新細明體"/>
        <family val="1"/>
      </rPr>
      <t>目前將所有不同</t>
    </r>
    <r>
      <rPr>
        <sz val="12"/>
        <rFont val="Arial"/>
        <family val="2"/>
      </rPr>
      <t>Create</t>
    </r>
    <r>
      <rPr>
        <sz val="12"/>
        <rFont val="新細明體"/>
        <family val="1"/>
      </rPr>
      <t>的分數分開計算在加總</t>
    </r>
    <r>
      <rPr>
        <sz val="12"/>
        <rFont val="Arial"/>
        <family val="2"/>
      </rPr>
      <t>:</t>
    </r>
  </si>
  <si>
    <r>
      <t>N</t>
    </r>
    <r>
      <rPr>
        <sz val="12"/>
        <rFont val="新細明體"/>
        <family val="1"/>
      </rPr>
      <t>卡</t>
    </r>
    <r>
      <rPr>
        <sz val="12"/>
        <rFont val="Arial"/>
        <family val="2"/>
      </rPr>
      <t>: 384</t>
    </r>
    <r>
      <rPr>
        <sz val="12"/>
        <rFont val="新細明體"/>
        <family val="1"/>
      </rPr>
      <t>佔</t>
    </r>
    <r>
      <rPr>
        <sz val="12"/>
        <rFont val="Arial"/>
        <family val="2"/>
      </rPr>
      <t>20% 511</t>
    </r>
    <r>
      <rPr>
        <sz val="12"/>
        <rFont val="新細明體"/>
        <family val="1"/>
      </rPr>
      <t>佔</t>
    </r>
    <r>
      <rPr>
        <sz val="12"/>
        <rFont val="Arial"/>
        <family val="2"/>
      </rPr>
      <t>55% 353</t>
    </r>
    <r>
      <rPr>
        <sz val="12"/>
        <rFont val="新細明體"/>
        <family val="1"/>
      </rPr>
      <t>佔</t>
    </r>
    <r>
      <rPr>
        <sz val="12"/>
        <rFont val="Arial"/>
        <family val="2"/>
      </rPr>
      <t>25%</t>
    </r>
  </si>
  <si>
    <r>
      <t>A</t>
    </r>
    <r>
      <rPr>
        <sz val="12"/>
        <rFont val="新細明體"/>
        <family val="1"/>
      </rPr>
      <t>卡</t>
    </r>
    <r>
      <rPr>
        <sz val="12"/>
        <rFont val="Arial"/>
        <family val="2"/>
      </rPr>
      <t>: 384</t>
    </r>
    <r>
      <rPr>
        <sz val="12"/>
        <rFont val="新細明體"/>
        <family val="1"/>
      </rPr>
      <t>佔</t>
    </r>
    <r>
      <rPr>
        <sz val="12"/>
        <rFont val="Arial"/>
        <family val="2"/>
      </rPr>
      <t>30% 511</t>
    </r>
    <r>
      <rPr>
        <sz val="12"/>
        <rFont val="新細明體"/>
        <family val="1"/>
      </rPr>
      <t>佔</t>
    </r>
    <r>
      <rPr>
        <sz val="12"/>
        <rFont val="Arial"/>
        <family val="2"/>
      </rPr>
      <t>40% 548</t>
    </r>
    <r>
      <rPr>
        <sz val="12"/>
        <rFont val="新細明體"/>
        <family val="1"/>
      </rPr>
      <t>佔</t>
    </r>
    <r>
      <rPr>
        <sz val="12"/>
        <rFont val="Arial"/>
        <family val="2"/>
      </rPr>
      <t>30%</t>
    </r>
  </si>
  <si>
    <r>
      <t>注意</t>
    </r>
    <r>
      <rPr>
        <sz val="12"/>
        <rFont val="Arial"/>
        <family val="2"/>
      </rPr>
      <t>WU</t>
    </r>
    <r>
      <rPr>
        <sz val="12"/>
        <rFont val="新細明體"/>
        <family val="1"/>
      </rPr>
      <t>與</t>
    </r>
    <r>
      <rPr>
        <sz val="12"/>
        <rFont val="Arial"/>
        <family val="2"/>
      </rPr>
      <t>WU</t>
    </r>
    <r>
      <rPr>
        <sz val="12"/>
        <rFont val="新細明體"/>
        <family val="1"/>
      </rPr>
      <t>中間的下載時間約</t>
    </r>
    <r>
      <rPr>
        <sz val="12"/>
        <rFont val="Arial"/>
        <family val="2"/>
      </rPr>
      <t>1</t>
    </r>
    <r>
      <rPr>
        <sz val="12"/>
        <rFont val="新細明體"/>
        <family val="1"/>
      </rPr>
      <t>分鐘</t>
    </r>
    <r>
      <rPr>
        <sz val="12"/>
        <rFont val="Arial"/>
        <family val="2"/>
      </rPr>
      <t>,</t>
    </r>
    <r>
      <rPr>
        <sz val="12"/>
        <rFont val="新細明體"/>
        <family val="1"/>
      </rPr>
      <t>這也會列入計算</t>
    </r>
  </si>
  <si>
    <r>
      <t>5.</t>
    </r>
    <r>
      <rPr>
        <sz val="12"/>
        <rFont val="新細明體"/>
        <family val="1"/>
      </rPr>
      <t>增加</t>
    </r>
    <r>
      <rPr>
        <sz val="12"/>
        <rFont val="Arial"/>
        <family val="2"/>
      </rPr>
      <t>55nm GT200</t>
    </r>
    <r>
      <rPr>
        <sz val="12"/>
        <rFont val="新細明體"/>
        <family val="1"/>
      </rPr>
      <t>的功耗資訊</t>
    </r>
  </si>
  <si>
    <r>
      <t>6.</t>
    </r>
    <r>
      <rPr>
        <sz val="12"/>
        <rFont val="新細明體"/>
        <family val="1"/>
      </rPr>
      <t>增加</t>
    </r>
    <r>
      <rPr>
        <sz val="12"/>
        <rFont val="Arial"/>
        <family val="2"/>
      </rPr>
      <t xml:space="preserve">Geforce 9600GT Green Edition </t>
    </r>
    <r>
      <rPr>
        <sz val="12"/>
        <rFont val="新細明體"/>
        <family val="1"/>
      </rPr>
      <t>資訊</t>
    </r>
  </si>
  <si>
    <r>
      <t>1.</t>
    </r>
    <r>
      <rPr>
        <sz val="12"/>
        <rFont val="新細明體"/>
        <family val="1"/>
      </rPr>
      <t>這些資料完全由</t>
    </r>
    <r>
      <rPr>
        <sz val="12"/>
        <rFont val="Arial"/>
        <family val="2"/>
      </rPr>
      <t>Extreme Techinist</t>
    </r>
    <r>
      <rPr>
        <sz val="12"/>
        <rFont val="新細明體"/>
        <family val="1"/>
      </rPr>
      <t>編寫，雖然使用假名，但是轉貼時還是務必要公佈作者全名。</t>
    </r>
  </si>
  <si>
    <r>
      <t>2.</t>
    </r>
    <r>
      <rPr>
        <sz val="12"/>
        <rFont val="新細明體"/>
        <family val="1"/>
      </rPr>
      <t>作者全名</t>
    </r>
    <r>
      <rPr>
        <sz val="12"/>
        <rFont val="Arial"/>
        <family val="2"/>
      </rPr>
      <t xml:space="preserve">Extreme Techinist </t>
    </r>
    <r>
      <rPr>
        <sz val="12"/>
        <rFont val="新細明體"/>
        <family val="1"/>
      </rPr>
      <t>在</t>
    </r>
    <r>
      <rPr>
        <sz val="12"/>
        <rFont val="Arial"/>
        <family val="2"/>
      </rPr>
      <t>PCDVD</t>
    </r>
    <r>
      <rPr>
        <sz val="12"/>
        <rFont val="新細明體"/>
        <family val="1"/>
      </rPr>
      <t>的帳號是</t>
    </r>
    <r>
      <rPr>
        <sz val="12"/>
        <rFont val="Arial"/>
        <family val="2"/>
      </rPr>
      <t>extremetech,</t>
    </r>
    <r>
      <rPr>
        <sz val="12"/>
        <rFont val="新細明體"/>
        <family val="1"/>
      </rPr>
      <t>在超能網的帳號是</t>
    </r>
    <r>
      <rPr>
        <sz val="12"/>
        <rFont val="Arial"/>
        <family val="2"/>
      </rPr>
      <t>ExtremeTech</t>
    </r>
  </si>
  <si>
    <r>
      <t>3.</t>
    </r>
    <r>
      <rPr>
        <sz val="12"/>
        <rFont val="新細明體"/>
        <family val="1"/>
      </rPr>
      <t>轉貼不必經過我同意，但期限為該版本發表後兩個月內。</t>
    </r>
  </si>
  <si>
    <r>
      <t>4.</t>
    </r>
    <r>
      <rPr>
        <sz val="12"/>
        <rFont val="新細明體"/>
        <family val="1"/>
      </rPr>
      <t>允許使用者上傳至其他的網頁空間供人下載，也是不用經過本人同意，但是同樣請注意使用期限</t>
    </r>
    <r>
      <rPr>
        <sz val="12"/>
        <rFont val="Arial"/>
        <family val="2"/>
      </rPr>
      <t>(2</t>
    </r>
    <r>
      <rPr>
        <sz val="12"/>
        <rFont val="新細明體"/>
        <family val="1"/>
      </rPr>
      <t>月</t>
    </r>
    <r>
      <rPr>
        <sz val="12"/>
        <rFont val="Arial"/>
        <family val="2"/>
      </rPr>
      <t>)</t>
    </r>
    <r>
      <rPr>
        <sz val="12"/>
        <rFont val="新細明體"/>
        <family val="1"/>
      </rPr>
      <t>。</t>
    </r>
  </si>
  <si>
    <r>
      <t>5.</t>
    </r>
    <r>
      <rPr>
        <sz val="12"/>
        <rFont val="新細明體"/>
        <family val="1"/>
      </rPr>
      <t>在任何討論區發表任何文章皆可以引用部分的資訊，不用經過本人同意，但是要公佈作者資訊以及版本。</t>
    </r>
  </si>
  <si>
    <r>
      <t xml:space="preserve">  </t>
    </r>
    <r>
      <rPr>
        <sz val="12"/>
        <rFont val="新細明體"/>
        <family val="1"/>
      </rPr>
      <t>但是不允許更動裡面所有的資料。</t>
    </r>
    <r>
      <rPr>
        <sz val="12"/>
        <rFont val="Arial"/>
        <family val="2"/>
      </rPr>
      <t>(FoldingCost</t>
    </r>
    <r>
      <rPr>
        <sz val="12"/>
        <rFont val="新細明體"/>
        <family val="1"/>
      </rPr>
      <t>除外</t>
    </r>
    <r>
      <rPr>
        <sz val="12"/>
        <rFont val="Arial"/>
        <family val="2"/>
      </rPr>
      <t>)</t>
    </r>
  </si>
  <si>
    <r>
      <t>6.VGAMaster</t>
    </r>
    <r>
      <rPr>
        <sz val="12"/>
        <rFont val="細明體"/>
        <family val="3"/>
      </rPr>
      <t>就是</t>
    </r>
    <r>
      <rPr>
        <sz val="12"/>
        <rFont val="Arial"/>
        <family val="2"/>
      </rPr>
      <t>VGAMaster,</t>
    </r>
    <r>
      <rPr>
        <sz val="12"/>
        <rFont val="細明體"/>
        <family val="3"/>
      </rPr>
      <t>名稱不允許被私下竄改</t>
    </r>
  </si>
  <si>
    <t>40nm</t>
  </si>
  <si>
    <t>Geforce GTS 250</t>
  </si>
  <si>
    <t>`</t>
  </si>
  <si>
    <t>55nm</t>
  </si>
  <si>
    <r>
      <t>0903</t>
    </r>
    <r>
      <rPr>
        <sz val="12"/>
        <rFont val="細明體"/>
        <family val="3"/>
      </rPr>
      <t>更新</t>
    </r>
  </si>
  <si>
    <r>
      <t>2.</t>
    </r>
    <r>
      <rPr>
        <sz val="12"/>
        <rFont val="細明體"/>
        <family val="3"/>
      </rPr>
      <t>增加</t>
    </r>
    <r>
      <rPr>
        <sz val="12"/>
        <rFont val="Arial"/>
        <family val="2"/>
      </rPr>
      <t>GTS240 250</t>
    </r>
    <r>
      <rPr>
        <sz val="12"/>
        <rFont val="細明體"/>
        <family val="3"/>
      </rPr>
      <t>資訊</t>
    </r>
  </si>
  <si>
    <r>
      <t>1.</t>
    </r>
    <r>
      <rPr>
        <sz val="12"/>
        <rFont val="細明體"/>
        <family val="3"/>
      </rPr>
      <t>增加晶片面積資訊</t>
    </r>
    <r>
      <rPr>
        <sz val="12"/>
        <rFont val="Arial"/>
        <family val="2"/>
      </rPr>
      <t>,</t>
    </r>
    <r>
      <rPr>
        <sz val="12"/>
        <rFont val="細明體"/>
        <family val="3"/>
      </rPr>
      <t>特別感謝超能網</t>
    </r>
    <r>
      <rPr>
        <sz val="12"/>
        <rFont val="Arial"/>
        <family val="2"/>
      </rPr>
      <t>gfmes</t>
    </r>
    <r>
      <rPr>
        <sz val="12"/>
        <rFont val="細明體"/>
        <family val="3"/>
      </rPr>
      <t>玩家提供此資訊</t>
    </r>
  </si>
  <si>
    <r>
      <t>3.RV740</t>
    </r>
    <r>
      <rPr>
        <sz val="12"/>
        <rFont val="細明體"/>
        <family val="3"/>
      </rPr>
      <t>名稱修正為</t>
    </r>
    <r>
      <rPr>
        <sz val="12"/>
        <rFont val="Arial"/>
        <family val="2"/>
      </rPr>
      <t>HD4750</t>
    </r>
  </si>
  <si>
    <r>
      <t>4.Geforce 9600GT Green Edition</t>
    </r>
    <r>
      <rPr>
        <sz val="12"/>
        <rFont val="細明體"/>
        <family val="3"/>
      </rPr>
      <t>增加長度資訊</t>
    </r>
  </si>
  <si>
    <r>
      <t>5.Folding@Home PPD</t>
    </r>
    <r>
      <rPr>
        <sz val="12"/>
        <rFont val="細明體"/>
        <family val="3"/>
      </rPr>
      <t>調整</t>
    </r>
    <r>
      <rPr>
        <sz val="12"/>
        <rFont val="Arial"/>
        <family val="2"/>
      </rPr>
      <t>WU</t>
    </r>
    <r>
      <rPr>
        <sz val="12"/>
        <rFont val="細明體"/>
        <family val="3"/>
      </rPr>
      <t>的出現率</t>
    </r>
    <r>
      <rPr>
        <sz val="12"/>
        <rFont val="Arial"/>
        <family val="2"/>
      </rPr>
      <t>:</t>
    </r>
  </si>
  <si>
    <r>
      <t>N</t>
    </r>
    <r>
      <rPr>
        <sz val="12"/>
        <rFont val="新細明體"/>
        <family val="1"/>
      </rPr>
      <t>卡</t>
    </r>
    <r>
      <rPr>
        <sz val="12"/>
        <rFont val="Arial"/>
        <family val="2"/>
      </rPr>
      <t>: 384</t>
    </r>
    <r>
      <rPr>
        <sz val="12"/>
        <rFont val="新細明體"/>
        <family val="1"/>
      </rPr>
      <t>佔</t>
    </r>
    <r>
      <rPr>
        <sz val="12"/>
        <rFont val="Arial"/>
        <family val="2"/>
      </rPr>
      <t>13.2% 511</t>
    </r>
    <r>
      <rPr>
        <sz val="12"/>
        <rFont val="新細明體"/>
        <family val="1"/>
      </rPr>
      <t>佔</t>
    </r>
    <r>
      <rPr>
        <sz val="12"/>
        <rFont val="Arial"/>
        <family val="2"/>
      </rPr>
      <t>19.1% 353</t>
    </r>
    <r>
      <rPr>
        <sz val="12"/>
        <rFont val="新細明體"/>
        <family val="1"/>
      </rPr>
      <t>佔</t>
    </r>
    <r>
      <rPr>
        <sz val="12"/>
        <rFont val="Arial"/>
        <family val="2"/>
      </rPr>
      <t>37.7%</t>
    </r>
  </si>
  <si>
    <r>
      <t>A</t>
    </r>
    <r>
      <rPr>
        <sz val="12"/>
        <rFont val="新細明體"/>
        <family val="1"/>
      </rPr>
      <t>卡</t>
    </r>
    <r>
      <rPr>
        <sz val="12"/>
        <rFont val="Arial"/>
        <family val="2"/>
      </rPr>
      <t>: 511</t>
    </r>
    <r>
      <rPr>
        <sz val="12"/>
        <rFont val="新細明體"/>
        <family val="1"/>
      </rPr>
      <t>佔</t>
    </r>
    <r>
      <rPr>
        <sz val="12"/>
        <rFont val="Arial"/>
        <family val="2"/>
      </rPr>
      <t>30% 384</t>
    </r>
    <r>
      <rPr>
        <sz val="12"/>
        <rFont val="新細明體"/>
        <family val="1"/>
      </rPr>
      <t>佔</t>
    </r>
    <r>
      <rPr>
        <sz val="12"/>
        <rFont val="Arial"/>
        <family val="2"/>
      </rPr>
      <t>28% 234</t>
    </r>
    <r>
      <rPr>
        <sz val="12"/>
        <rFont val="新細明體"/>
        <family val="1"/>
      </rPr>
      <t>佔</t>
    </r>
    <r>
      <rPr>
        <sz val="12"/>
        <rFont val="Arial"/>
        <family val="2"/>
      </rPr>
      <t>10% 477</t>
    </r>
    <r>
      <rPr>
        <sz val="12"/>
        <rFont val="新細明體"/>
        <family val="1"/>
      </rPr>
      <t>佔</t>
    </r>
    <r>
      <rPr>
        <sz val="12"/>
        <rFont val="Arial"/>
        <family val="2"/>
      </rPr>
      <t>10% 548</t>
    </r>
    <r>
      <rPr>
        <sz val="12"/>
        <rFont val="新細明體"/>
        <family val="1"/>
      </rPr>
      <t>佔</t>
    </r>
    <r>
      <rPr>
        <sz val="12"/>
        <rFont val="Arial"/>
        <family val="2"/>
      </rPr>
      <t>22%</t>
    </r>
  </si>
  <si>
    <t>Radeon HD4890</t>
  </si>
  <si>
    <t>Geforce GTX 275</t>
  </si>
  <si>
    <t>Radeon HD4770</t>
  </si>
  <si>
    <t>Radeon HD4870</t>
  </si>
  <si>
    <t>Geforce GTS 250</t>
  </si>
  <si>
    <r>
      <t>0904</t>
    </r>
    <r>
      <rPr>
        <sz val="12"/>
        <rFont val="細明體"/>
        <family val="3"/>
      </rPr>
      <t>更新</t>
    </r>
  </si>
  <si>
    <r>
      <t>2.</t>
    </r>
    <r>
      <rPr>
        <sz val="12"/>
        <rFont val="細明體"/>
        <family val="3"/>
      </rPr>
      <t>增加</t>
    </r>
    <r>
      <rPr>
        <sz val="12"/>
        <rFont val="Arial"/>
        <family val="2"/>
      </rPr>
      <t>Radeon HD4890</t>
    </r>
    <r>
      <rPr>
        <sz val="12"/>
        <rFont val="細明體"/>
        <family val="3"/>
      </rPr>
      <t>與</t>
    </r>
    <r>
      <rPr>
        <sz val="12"/>
        <rFont val="Arial"/>
        <family val="2"/>
      </rPr>
      <t>Gefoirce GTX275</t>
    </r>
    <r>
      <rPr>
        <sz val="12"/>
        <rFont val="細明體"/>
        <family val="3"/>
      </rPr>
      <t>的資料</t>
    </r>
    <r>
      <rPr>
        <sz val="12"/>
        <rFont val="Arial"/>
        <family val="2"/>
      </rPr>
      <t>,</t>
    </r>
    <r>
      <rPr>
        <sz val="12"/>
        <rFont val="細明體"/>
        <family val="3"/>
      </rPr>
      <t>由於尚未有評測所以耗電量空缺</t>
    </r>
  </si>
  <si>
    <r>
      <t>3.RV470</t>
    </r>
    <r>
      <rPr>
        <sz val="12"/>
        <rFont val="細明體"/>
        <family val="3"/>
      </rPr>
      <t>上市還早</t>
    </r>
    <r>
      <rPr>
        <sz val="12"/>
        <rFont val="Arial"/>
        <family val="2"/>
      </rPr>
      <t>,</t>
    </r>
    <r>
      <rPr>
        <sz val="12"/>
        <rFont val="細明體"/>
        <family val="3"/>
      </rPr>
      <t>先隱藏</t>
    </r>
  </si>
  <si>
    <r>
      <t>4.Folding@Home PPD</t>
    </r>
    <r>
      <rPr>
        <sz val="12"/>
        <rFont val="細明體"/>
        <family val="3"/>
      </rPr>
      <t>調整</t>
    </r>
    <r>
      <rPr>
        <sz val="12"/>
        <rFont val="Arial"/>
        <family val="2"/>
      </rPr>
      <t>WU</t>
    </r>
    <r>
      <rPr>
        <sz val="12"/>
        <rFont val="細明體"/>
        <family val="3"/>
      </rPr>
      <t>的出現率</t>
    </r>
    <r>
      <rPr>
        <sz val="12"/>
        <rFont val="Arial"/>
        <family val="2"/>
      </rPr>
      <t>:</t>
    </r>
  </si>
  <si>
    <r>
      <t>N</t>
    </r>
    <r>
      <rPr>
        <sz val="12"/>
        <rFont val="新細明體"/>
        <family val="1"/>
      </rPr>
      <t>卡</t>
    </r>
    <r>
      <rPr>
        <sz val="12"/>
        <rFont val="Arial"/>
        <family val="2"/>
      </rPr>
      <t>: 768</t>
    </r>
    <r>
      <rPr>
        <sz val="12"/>
        <rFont val="新細明體"/>
        <family val="1"/>
      </rPr>
      <t>佔</t>
    </r>
    <r>
      <rPr>
        <sz val="12"/>
        <rFont val="Arial"/>
        <family val="2"/>
      </rPr>
      <t>54% 472</t>
    </r>
    <r>
      <rPr>
        <sz val="12"/>
        <rFont val="新細明體"/>
        <family val="1"/>
      </rPr>
      <t>佔</t>
    </r>
    <r>
      <rPr>
        <sz val="12"/>
        <rFont val="Arial"/>
        <family val="2"/>
      </rPr>
      <t>3% 1888</t>
    </r>
    <r>
      <rPr>
        <sz val="12"/>
        <rFont val="新細明體"/>
        <family val="1"/>
      </rPr>
      <t>佔</t>
    </r>
    <r>
      <rPr>
        <sz val="12"/>
        <rFont val="Arial"/>
        <family val="2"/>
      </rPr>
      <t>43%</t>
    </r>
  </si>
  <si>
    <r>
      <t>5.</t>
    </r>
    <r>
      <rPr>
        <sz val="12"/>
        <rFont val="細明體"/>
        <family val="3"/>
      </rPr>
      <t>由於</t>
    </r>
    <r>
      <rPr>
        <sz val="12"/>
        <rFont val="Arial"/>
        <family val="2"/>
      </rPr>
      <t>A</t>
    </r>
    <r>
      <rPr>
        <sz val="12"/>
        <rFont val="細明體"/>
        <family val="3"/>
      </rPr>
      <t>卡因為驅動與</t>
    </r>
    <r>
      <rPr>
        <sz val="12"/>
        <rFont val="Arial"/>
        <family val="2"/>
      </rPr>
      <t>Core</t>
    </r>
    <r>
      <rPr>
        <sz val="12"/>
        <rFont val="細明體"/>
        <family val="3"/>
      </rPr>
      <t>更新的關係</t>
    </r>
    <r>
      <rPr>
        <sz val="12"/>
        <rFont val="Arial"/>
        <family val="2"/>
      </rPr>
      <t>,Folding</t>
    </r>
    <r>
      <rPr>
        <sz val="12"/>
        <rFont val="細明體"/>
        <family val="3"/>
      </rPr>
      <t>不再佔用</t>
    </r>
    <r>
      <rPr>
        <sz val="12"/>
        <rFont val="Arial"/>
        <family val="2"/>
      </rPr>
      <t>CPU</t>
    </r>
    <r>
      <rPr>
        <sz val="12"/>
        <rFont val="細明體"/>
        <family val="3"/>
      </rPr>
      <t>資源</t>
    </r>
    <r>
      <rPr>
        <sz val="12"/>
        <rFont val="Arial"/>
        <family val="2"/>
      </rPr>
      <t>,</t>
    </r>
    <r>
      <rPr>
        <sz val="12"/>
        <rFont val="細明體"/>
        <family val="3"/>
      </rPr>
      <t>所以新版的</t>
    </r>
    <r>
      <rPr>
        <sz val="12"/>
        <rFont val="Arial"/>
        <family val="2"/>
      </rPr>
      <t>FoldingCost</t>
    </r>
    <r>
      <rPr>
        <sz val="12"/>
        <rFont val="細明體"/>
        <family val="3"/>
      </rPr>
      <t>補上</t>
    </r>
    <r>
      <rPr>
        <sz val="12"/>
        <rFont val="Arial"/>
        <family val="2"/>
      </rPr>
      <t>A</t>
    </r>
    <r>
      <rPr>
        <sz val="12"/>
        <rFont val="細明體"/>
        <family val="3"/>
      </rPr>
      <t>卡資料</t>
    </r>
  </si>
  <si>
    <r>
      <t>6.</t>
    </r>
    <r>
      <rPr>
        <sz val="12"/>
        <rFont val="細明體"/>
        <family val="3"/>
      </rPr>
      <t>修正</t>
    </r>
    <r>
      <rPr>
        <sz val="12"/>
        <rFont val="Arial"/>
        <family val="2"/>
      </rPr>
      <t>PS3 F@H PPD</t>
    </r>
    <r>
      <rPr>
        <sz val="12"/>
        <rFont val="細明體"/>
        <family val="3"/>
      </rPr>
      <t>值</t>
    </r>
  </si>
  <si>
    <r>
      <t>1.</t>
    </r>
    <r>
      <rPr>
        <sz val="12"/>
        <rFont val="細明體"/>
        <family val="3"/>
      </rPr>
      <t>修正</t>
    </r>
    <r>
      <rPr>
        <sz val="12"/>
        <rFont val="Arial"/>
        <family val="2"/>
      </rPr>
      <t>Gefoece GTS250</t>
    </r>
    <r>
      <rPr>
        <sz val="12"/>
        <rFont val="細明體"/>
        <family val="3"/>
      </rPr>
      <t>的長度</t>
    </r>
    <r>
      <rPr>
        <sz val="12"/>
        <rFont val="Arial"/>
        <family val="2"/>
      </rPr>
      <t>,</t>
    </r>
    <r>
      <rPr>
        <sz val="12"/>
        <rFont val="細明體"/>
        <family val="3"/>
      </rPr>
      <t>與外接電源敘述</t>
    </r>
  </si>
  <si>
    <r>
      <t>7.</t>
    </r>
    <r>
      <rPr>
        <sz val="12"/>
        <rFont val="細明體"/>
        <family val="3"/>
      </rPr>
      <t>大幅度降低</t>
    </r>
    <r>
      <rPr>
        <sz val="12"/>
        <rFont val="Arial"/>
        <family val="2"/>
      </rPr>
      <t>F@H</t>
    </r>
    <r>
      <rPr>
        <sz val="12"/>
        <rFont val="細明體"/>
        <family val="3"/>
      </rPr>
      <t>功耗</t>
    </r>
  </si>
  <si>
    <t>Geforce 9800GT Green Edition</t>
  </si>
  <si>
    <t>Radeon HD4650</t>
  </si>
  <si>
    <t>Radeon HD4730</t>
  </si>
  <si>
    <r>
      <t>0906</t>
    </r>
    <r>
      <rPr>
        <sz val="12"/>
        <rFont val="細明體"/>
        <family val="3"/>
      </rPr>
      <t>更新</t>
    </r>
  </si>
  <si>
    <r>
      <t>1.</t>
    </r>
    <r>
      <rPr>
        <sz val="12"/>
        <rFont val="細明體"/>
        <family val="3"/>
      </rPr>
      <t>修正</t>
    </r>
    <r>
      <rPr>
        <sz val="12"/>
        <rFont val="Arial"/>
        <family val="2"/>
      </rPr>
      <t>HD4770</t>
    </r>
    <r>
      <rPr>
        <sz val="12"/>
        <rFont val="細明體"/>
        <family val="3"/>
      </rPr>
      <t>功耗</t>
    </r>
  </si>
  <si>
    <r>
      <t>2.</t>
    </r>
    <r>
      <rPr>
        <sz val="12"/>
        <rFont val="細明體"/>
        <family val="3"/>
      </rPr>
      <t>增加</t>
    </r>
    <r>
      <rPr>
        <sz val="12"/>
        <rFont val="Arial"/>
        <family val="2"/>
      </rPr>
      <t>HD4750 HD4730 GT300</t>
    </r>
    <r>
      <rPr>
        <sz val="12"/>
        <rFont val="細明體"/>
        <family val="3"/>
      </rPr>
      <t>的隱藏資訊</t>
    </r>
  </si>
  <si>
    <r>
      <t>3.Folding@Home PPD</t>
    </r>
    <r>
      <rPr>
        <sz val="12"/>
        <rFont val="細明體"/>
        <family val="3"/>
      </rPr>
      <t>調整</t>
    </r>
    <r>
      <rPr>
        <sz val="12"/>
        <rFont val="Arial"/>
        <family val="2"/>
      </rPr>
      <t>WU</t>
    </r>
    <r>
      <rPr>
        <sz val="12"/>
        <rFont val="細明體"/>
        <family val="3"/>
      </rPr>
      <t>的出現率</t>
    </r>
    <r>
      <rPr>
        <sz val="12"/>
        <rFont val="Arial"/>
        <family val="2"/>
      </rPr>
      <t>:</t>
    </r>
  </si>
  <si>
    <r>
      <t>A</t>
    </r>
    <r>
      <rPr>
        <sz val="12"/>
        <rFont val="新細明體"/>
        <family val="1"/>
      </rPr>
      <t>卡</t>
    </r>
    <r>
      <rPr>
        <sz val="12"/>
        <rFont val="Arial"/>
        <family val="2"/>
      </rPr>
      <t>: 511</t>
    </r>
    <r>
      <rPr>
        <sz val="12"/>
        <rFont val="新細明體"/>
        <family val="1"/>
      </rPr>
      <t>佔</t>
    </r>
    <r>
      <rPr>
        <sz val="12"/>
        <rFont val="Arial"/>
        <family val="2"/>
      </rPr>
      <t>46.7% 384</t>
    </r>
    <r>
      <rPr>
        <sz val="12"/>
        <rFont val="新細明體"/>
        <family val="1"/>
      </rPr>
      <t>佔</t>
    </r>
    <r>
      <rPr>
        <sz val="12"/>
        <rFont val="Arial"/>
        <family val="2"/>
      </rPr>
      <t>49.5% 477</t>
    </r>
    <r>
      <rPr>
        <sz val="12"/>
        <rFont val="新細明體"/>
        <family val="1"/>
      </rPr>
      <t>佔</t>
    </r>
    <r>
      <rPr>
        <sz val="12"/>
        <rFont val="Arial"/>
        <family val="2"/>
      </rPr>
      <t>3.8%</t>
    </r>
  </si>
  <si>
    <r>
      <t>N</t>
    </r>
    <r>
      <rPr>
        <sz val="12"/>
        <rFont val="新細明體"/>
        <family val="1"/>
      </rPr>
      <t>卡</t>
    </r>
    <r>
      <rPr>
        <sz val="12"/>
        <rFont val="Arial"/>
        <family val="2"/>
      </rPr>
      <t>: 768</t>
    </r>
    <r>
      <rPr>
        <sz val="12"/>
        <rFont val="新細明體"/>
        <family val="1"/>
      </rPr>
      <t>佔</t>
    </r>
    <r>
      <rPr>
        <sz val="12"/>
        <rFont val="Arial"/>
        <family val="2"/>
      </rPr>
      <t>37% 1888</t>
    </r>
    <r>
      <rPr>
        <sz val="12"/>
        <rFont val="新細明體"/>
        <family val="1"/>
      </rPr>
      <t>佔</t>
    </r>
    <r>
      <rPr>
        <sz val="12"/>
        <rFont val="Arial"/>
        <family val="2"/>
      </rPr>
      <t>7.4% 353</t>
    </r>
    <r>
      <rPr>
        <sz val="12"/>
        <rFont val="新細明體"/>
        <family val="1"/>
      </rPr>
      <t>佔</t>
    </r>
    <r>
      <rPr>
        <sz val="12"/>
        <rFont val="Arial"/>
        <family val="2"/>
      </rPr>
      <t>35.2% 511</t>
    </r>
    <r>
      <rPr>
        <sz val="12"/>
        <rFont val="新細明體"/>
        <family val="1"/>
      </rPr>
      <t>佔</t>
    </r>
    <r>
      <rPr>
        <sz val="12"/>
        <rFont val="Arial"/>
        <family val="2"/>
      </rPr>
      <t>20.4%</t>
    </r>
  </si>
  <si>
    <t xml:space="preserve">流處理器時脈
</t>
  </si>
  <si>
    <r>
      <t>0907</t>
    </r>
    <r>
      <rPr>
        <sz val="12"/>
        <rFont val="細明體"/>
        <family val="3"/>
      </rPr>
      <t>更新</t>
    </r>
  </si>
  <si>
    <r>
      <t>1.</t>
    </r>
    <r>
      <rPr>
        <sz val="12"/>
        <rFont val="細明體"/>
        <family val="3"/>
      </rPr>
      <t>增加完整</t>
    </r>
    <r>
      <rPr>
        <sz val="12"/>
        <rFont val="Arial"/>
        <family val="2"/>
      </rPr>
      <t>HD4730</t>
    </r>
    <r>
      <rPr>
        <sz val="12"/>
        <rFont val="細明體"/>
        <family val="3"/>
      </rPr>
      <t>資訊</t>
    </r>
  </si>
  <si>
    <r>
      <t>2.</t>
    </r>
    <r>
      <rPr>
        <sz val="12"/>
        <rFont val="細明體"/>
        <family val="3"/>
      </rPr>
      <t>增加</t>
    </r>
    <r>
      <rPr>
        <sz val="12"/>
        <rFont val="Arial"/>
        <family val="2"/>
      </rPr>
      <t xml:space="preserve">HD4790 </t>
    </r>
    <r>
      <rPr>
        <sz val="12"/>
        <rFont val="細明體"/>
        <family val="3"/>
      </rPr>
      <t>的隱藏資訊</t>
    </r>
  </si>
  <si>
    <r>
      <t>A</t>
    </r>
    <r>
      <rPr>
        <sz val="12"/>
        <rFont val="新細明體"/>
        <family val="1"/>
      </rPr>
      <t>卡</t>
    </r>
    <r>
      <rPr>
        <sz val="12"/>
        <rFont val="Arial"/>
        <family val="2"/>
      </rPr>
      <t>: 511</t>
    </r>
    <r>
      <rPr>
        <sz val="12"/>
        <rFont val="新細明體"/>
        <family val="1"/>
      </rPr>
      <t>佔</t>
    </r>
    <r>
      <rPr>
        <sz val="12"/>
        <rFont val="Arial"/>
        <family val="2"/>
      </rPr>
      <t>44% 384</t>
    </r>
    <r>
      <rPr>
        <sz val="12"/>
        <rFont val="新細明體"/>
        <family val="1"/>
      </rPr>
      <t>佔</t>
    </r>
    <r>
      <rPr>
        <sz val="12"/>
        <rFont val="Arial"/>
        <family val="2"/>
      </rPr>
      <t>56%</t>
    </r>
  </si>
  <si>
    <r>
      <t>N</t>
    </r>
    <r>
      <rPr>
        <sz val="12"/>
        <rFont val="新細明體"/>
        <family val="1"/>
      </rPr>
      <t>卡</t>
    </r>
    <r>
      <rPr>
        <sz val="12"/>
        <rFont val="Arial"/>
        <family val="2"/>
      </rPr>
      <t>: 768</t>
    </r>
    <r>
      <rPr>
        <sz val="12"/>
        <rFont val="新細明體"/>
        <family val="1"/>
      </rPr>
      <t>佔</t>
    </r>
    <r>
      <rPr>
        <sz val="12"/>
        <rFont val="Arial"/>
        <family val="2"/>
      </rPr>
      <t>21.7% 1888</t>
    </r>
    <r>
      <rPr>
        <sz val="12"/>
        <rFont val="新細明體"/>
        <family val="1"/>
      </rPr>
      <t>佔</t>
    </r>
    <r>
      <rPr>
        <sz val="12"/>
        <rFont val="Arial"/>
        <family val="2"/>
      </rPr>
      <t>6.5% 353</t>
    </r>
    <r>
      <rPr>
        <sz val="12"/>
        <rFont val="新細明體"/>
        <family val="1"/>
      </rPr>
      <t>佔</t>
    </r>
    <r>
      <rPr>
        <sz val="12"/>
        <rFont val="Arial"/>
        <family val="2"/>
      </rPr>
      <t>8.7% 511</t>
    </r>
    <r>
      <rPr>
        <sz val="12"/>
        <rFont val="新細明體"/>
        <family val="1"/>
      </rPr>
      <t>佔</t>
    </r>
    <r>
      <rPr>
        <sz val="12"/>
        <rFont val="Arial"/>
        <family val="2"/>
      </rPr>
      <t>2.2% 384</t>
    </r>
    <r>
      <rPr>
        <sz val="12"/>
        <rFont val="新細明體"/>
        <family val="1"/>
      </rPr>
      <t>佔</t>
    </r>
    <r>
      <rPr>
        <sz val="12"/>
        <rFont val="Arial"/>
        <family val="2"/>
      </rPr>
      <t>60.9%</t>
    </r>
  </si>
  <si>
    <t>Radeon HD4860</t>
  </si>
  <si>
    <t>785G</t>
  </si>
  <si>
    <t>785G With sideport VRAM</t>
  </si>
  <si>
    <t>1. VGAMaster的運算原理</t>
  </si>
  <si>
    <t>TAU/TMU</t>
  </si>
  <si>
    <t>==&gt;</t>
  </si>
  <si>
    <t>Shader</t>
  </si>
  <si>
    <t>ROP</t>
  </si>
  <si>
    <t>RAM頻寬</t>
  </si>
  <si>
    <t>以上是GPU內部演算的簡化流程,VGAMaster只把上列的規格列入計算,而省略頂點運算的部分</t>
  </si>
  <si>
    <t>假設CPU非運算瓶頸,一般遊戲進行時,以上項目都有可能成為瓶頸</t>
  </si>
  <si>
    <t>當然,同一時間瓶頸只會出現再其中一項,但是再大部分的狀況統計一長段時間的平均FPS時,所有項目都可能會影響到平均FPS</t>
  </si>
  <si>
    <t>而VGAMaster算是的目的,是要模擬大部份遊戲中的效能,在列入更大量遊戲的測試結果後,所有項目都是會影響效能</t>
  </si>
  <si>
    <t>有著以下趨勢:</t>
  </si>
  <si>
    <t>A.當所有規格加N倍,整體的效能會增加N倍</t>
  </si>
  <si>
    <t>B.最弱的項目是效能瓶頸，該項目的增減影響整體效能會最大</t>
  </si>
  <si>
    <t>------------</t>
  </si>
  <si>
    <t>R1</t>
  </si>
  <si>
    <t>R2</t>
  </si>
  <si>
    <t>R3</t>
  </si>
  <si>
    <t>R4</t>
  </si>
  <si>
    <t>-----------</t>
  </si>
  <si>
    <t>電阻並聯:</t>
  </si>
  <si>
    <t>為了適當模擬上面的狀況,VGMaster採用類似電學中的電阻並聯公式</t>
  </si>
  <si>
    <t>而VGAMaster的算式則是把TAU,TMU,Shader,ROP,頻寬等性能數值帶入公式,並在每個參數承上一定係數做調整(根據每個不同架構作微調)</t>
  </si>
  <si>
    <t>最後將計算出來的數值成上一定比例,以控制在王卡=999</t>
  </si>
  <si>
    <t>2.多GPU計算</t>
  </si>
  <si>
    <t>多GPU計算的話，即將GPU數量以對數關係做等效計算(例如ATI HD4870雙GPU性能直接乘以1.54倍)</t>
  </si>
  <si>
    <t>而GPU數量的限制有判斷式在約束,會遵守以下的規則:</t>
  </si>
  <si>
    <t>A.必須為整數， 如果輸入非整數，以整數運算</t>
  </si>
  <si>
    <t>B.必須小於常規驅動GPU串聯的上限,超過上限以上限值計算(例如GTX280上限為3GPU)</t>
  </si>
  <si>
    <t>意即GPU數量越大,性能成長會趨緩,而GPU數量加成會比一般媒體Review時測來的小的主要原因,是在於我已經假設有某些玩家真正會玩到的遊戲並從來不會被拿來平測性能</t>
  </si>
  <si>
    <t>但是那些遊戲從來不支援多GPU</t>
  </si>
  <si>
    <t>在VGAMaster0805之前的版本,該欄位是理論浮點運散性能</t>
  </si>
  <si>
    <t>C.若是Nvidia雙GPU顯示卡，GPU數量必須是偶數(AMD不受限制)</t>
  </si>
  <si>
    <t>列入此數據的原因,是因為當時AMD,Nvidia都在推廣GPU運算,所以該欄位是因應未來可能把顯示卡挪做其他運用的性能指標</t>
  </si>
  <si>
    <t>08年7月Folding@Home的GPU2開始Beta測試,而AMD的R600架構與Nvidia G80架構以後的顯示卡都可以計算</t>
  </si>
  <si>
    <t>但是運算的性能與先前的理論浮點運算效能大有出入</t>
  </si>
  <si>
    <t>於是將該欄位直接用F@H取代，以代表實際上將GPU挪做其他運算的性能指標</t>
  </si>
  <si>
    <r>
      <t>0908</t>
    </r>
    <r>
      <rPr>
        <sz val="12"/>
        <rFont val="細明體"/>
        <family val="3"/>
      </rPr>
      <t>更新</t>
    </r>
  </si>
  <si>
    <r>
      <t>1.</t>
    </r>
    <r>
      <rPr>
        <sz val="12"/>
        <rFont val="細明體"/>
        <family val="3"/>
      </rPr>
      <t>增加</t>
    </r>
    <r>
      <rPr>
        <sz val="12"/>
        <rFont val="Arial"/>
        <family val="2"/>
      </rPr>
      <t>HD4860 785G</t>
    </r>
    <r>
      <rPr>
        <sz val="12"/>
        <rFont val="細明體"/>
        <family val="3"/>
      </rPr>
      <t>的資訊</t>
    </r>
  </si>
  <si>
    <r>
      <t>N</t>
    </r>
    <r>
      <rPr>
        <sz val="12"/>
        <rFont val="新細明體"/>
        <family val="1"/>
      </rPr>
      <t>卡</t>
    </r>
    <r>
      <rPr>
        <sz val="12"/>
        <rFont val="Arial"/>
        <family val="2"/>
      </rPr>
      <t>: 511</t>
    </r>
    <r>
      <rPr>
        <sz val="12"/>
        <rFont val="新細明體"/>
        <family val="1"/>
      </rPr>
      <t>佔</t>
    </r>
    <r>
      <rPr>
        <sz val="12"/>
        <rFont val="Arial"/>
        <family val="2"/>
      </rPr>
      <t>37.3% 1888</t>
    </r>
    <r>
      <rPr>
        <sz val="12"/>
        <rFont val="新細明體"/>
        <family val="1"/>
      </rPr>
      <t>佔</t>
    </r>
    <r>
      <rPr>
        <sz val="12"/>
        <rFont val="Arial"/>
        <family val="2"/>
      </rPr>
      <t>68% 353</t>
    </r>
    <r>
      <rPr>
        <sz val="12"/>
        <rFont val="新細明體"/>
        <family val="1"/>
      </rPr>
      <t>佔</t>
    </r>
    <r>
      <rPr>
        <sz val="12"/>
        <rFont val="Arial"/>
        <family val="2"/>
      </rPr>
      <t>36% 472</t>
    </r>
    <r>
      <rPr>
        <sz val="12"/>
        <rFont val="新細明體"/>
        <family val="1"/>
      </rPr>
      <t>佔</t>
    </r>
    <r>
      <rPr>
        <sz val="12"/>
        <rFont val="Arial"/>
        <family val="2"/>
      </rPr>
      <t>18.7%</t>
    </r>
  </si>
  <si>
    <r>
      <t>4.</t>
    </r>
    <r>
      <rPr>
        <sz val="12"/>
        <rFont val="細明體"/>
        <family val="3"/>
      </rPr>
      <t>雖然</t>
    </r>
    <r>
      <rPr>
        <sz val="12"/>
        <rFont val="Arial"/>
        <family val="2"/>
      </rPr>
      <t>NVidia190.38</t>
    </r>
    <r>
      <rPr>
        <sz val="12"/>
        <rFont val="細明體"/>
        <family val="3"/>
      </rPr>
      <t>驅動有稍微增加</t>
    </r>
    <r>
      <rPr>
        <sz val="12"/>
        <rFont val="Arial"/>
        <family val="2"/>
      </rPr>
      <t>Folding@Home</t>
    </r>
    <r>
      <rPr>
        <sz val="12"/>
        <rFont val="細明體"/>
        <family val="3"/>
      </rPr>
      <t>的</t>
    </r>
    <r>
      <rPr>
        <sz val="12"/>
        <rFont val="Arial"/>
        <family val="2"/>
      </rPr>
      <t>PPD,</t>
    </r>
    <r>
      <rPr>
        <sz val="12"/>
        <rFont val="細明體"/>
        <family val="3"/>
      </rPr>
      <t>但是因為</t>
    </r>
    <r>
      <rPr>
        <sz val="12"/>
        <rFont val="Arial"/>
        <family val="2"/>
      </rPr>
      <t>WU</t>
    </r>
    <r>
      <rPr>
        <sz val="12"/>
        <rFont val="細明體"/>
        <family val="3"/>
      </rPr>
      <t>的比例變更</t>
    </r>
    <r>
      <rPr>
        <sz val="12"/>
        <rFont val="Arial"/>
        <family val="2"/>
      </rPr>
      <t>,</t>
    </r>
    <r>
      <rPr>
        <sz val="12"/>
        <rFont val="細明體"/>
        <family val="3"/>
      </rPr>
      <t>總</t>
    </r>
    <r>
      <rPr>
        <sz val="12"/>
        <rFont val="Arial"/>
        <family val="2"/>
      </rPr>
      <t>PPD</t>
    </r>
    <r>
      <rPr>
        <sz val="12"/>
        <rFont val="細明體"/>
        <family val="3"/>
      </rPr>
      <t>還是下降</t>
    </r>
  </si>
  <si>
    <r>
      <t>5.</t>
    </r>
    <r>
      <rPr>
        <sz val="12"/>
        <rFont val="細明體"/>
        <family val="3"/>
      </rPr>
      <t>增加</t>
    </r>
    <r>
      <rPr>
        <sz val="12"/>
        <rFont val="Arial"/>
        <family val="2"/>
      </rPr>
      <t>FAQ</t>
    </r>
  </si>
  <si>
    <r>
      <t>2.</t>
    </r>
    <r>
      <rPr>
        <sz val="12"/>
        <rFont val="細明體"/>
        <family val="3"/>
      </rPr>
      <t>更正</t>
    </r>
    <r>
      <rPr>
        <sz val="12"/>
        <rFont val="Arial"/>
        <family val="2"/>
      </rPr>
      <t>780G 790GX</t>
    </r>
    <r>
      <rPr>
        <sz val="12"/>
        <rFont val="細明體"/>
        <family val="3"/>
      </rPr>
      <t>的</t>
    </r>
    <r>
      <rPr>
        <sz val="12"/>
        <rFont val="Arial"/>
        <family val="2"/>
      </rPr>
      <t>DirectX</t>
    </r>
    <r>
      <rPr>
        <sz val="12"/>
        <rFont val="細明體"/>
        <family val="3"/>
      </rPr>
      <t>敘述</t>
    </r>
  </si>
  <si>
    <t>等效電阻PR = 1 / (1 / R1 + 1 / R2+1/R3+1/R4)</t>
  </si>
  <si>
    <t>3.為何列入Folding@home的PPD?</t>
  </si>
  <si>
    <t>INT(MIN(C65,D65)/2)*2</t>
  </si>
  <si>
    <r>
      <t>0909</t>
    </r>
    <r>
      <rPr>
        <sz val="12"/>
        <rFont val="細明體"/>
        <family val="3"/>
      </rPr>
      <t>更新</t>
    </r>
  </si>
  <si>
    <r>
      <t>1.</t>
    </r>
    <r>
      <rPr>
        <sz val="12"/>
        <rFont val="細明體"/>
        <family val="3"/>
      </rPr>
      <t>修改多卡串聯的增長幅度</t>
    </r>
  </si>
  <si>
    <r>
      <t>2.</t>
    </r>
    <r>
      <rPr>
        <sz val="12"/>
        <rFont val="細明體"/>
        <family val="3"/>
      </rPr>
      <t>同時微調目前主流顯示卡的效能分數</t>
    </r>
    <r>
      <rPr>
        <sz val="12"/>
        <rFont val="Arial"/>
        <family val="2"/>
      </rPr>
      <t>,</t>
    </r>
    <r>
      <rPr>
        <sz val="12"/>
        <rFont val="細明體"/>
        <family val="3"/>
      </rPr>
      <t>這次微調已經更加逼進大部份遊戲表現的統合結果</t>
    </r>
  </si>
  <si>
    <r>
      <t>A</t>
    </r>
    <r>
      <rPr>
        <sz val="12"/>
        <rFont val="新細明體"/>
        <family val="1"/>
      </rPr>
      <t>卡</t>
    </r>
    <r>
      <rPr>
        <sz val="12"/>
        <rFont val="Arial"/>
        <family val="2"/>
      </rPr>
      <t>: 511</t>
    </r>
    <r>
      <rPr>
        <sz val="12"/>
        <rFont val="新細明體"/>
        <family val="1"/>
      </rPr>
      <t>佔</t>
    </r>
    <r>
      <rPr>
        <sz val="12"/>
        <rFont val="Arial"/>
        <family val="2"/>
      </rPr>
      <t>50% 384</t>
    </r>
    <r>
      <rPr>
        <sz val="12"/>
        <rFont val="新細明體"/>
        <family val="1"/>
      </rPr>
      <t>佔</t>
    </r>
    <r>
      <rPr>
        <sz val="12"/>
        <rFont val="Arial"/>
        <family val="2"/>
      </rPr>
      <t>50%</t>
    </r>
  </si>
  <si>
    <r>
      <t>N</t>
    </r>
    <r>
      <rPr>
        <sz val="12"/>
        <rFont val="新細明體"/>
        <family val="1"/>
      </rPr>
      <t>卡</t>
    </r>
    <r>
      <rPr>
        <sz val="12"/>
        <rFont val="Arial"/>
        <family val="2"/>
      </rPr>
      <t>: 511</t>
    </r>
    <r>
      <rPr>
        <sz val="12"/>
        <rFont val="新細明體"/>
        <family val="1"/>
      </rPr>
      <t>佔</t>
    </r>
    <r>
      <rPr>
        <sz val="12"/>
        <rFont val="Arial"/>
        <family val="2"/>
      </rPr>
      <t>13.5% 1888</t>
    </r>
    <r>
      <rPr>
        <sz val="12"/>
        <rFont val="新細明體"/>
        <family val="1"/>
      </rPr>
      <t>佔</t>
    </r>
    <r>
      <rPr>
        <sz val="12"/>
        <rFont val="Arial"/>
        <family val="2"/>
      </rPr>
      <t>13.5% 787</t>
    </r>
    <r>
      <rPr>
        <sz val="12"/>
        <rFont val="新細明體"/>
        <family val="1"/>
      </rPr>
      <t>佔</t>
    </r>
    <r>
      <rPr>
        <sz val="12"/>
        <rFont val="Arial"/>
        <family val="2"/>
      </rPr>
      <t>69.2% 472</t>
    </r>
    <r>
      <rPr>
        <sz val="12"/>
        <rFont val="新細明體"/>
        <family val="1"/>
      </rPr>
      <t>佔</t>
    </r>
    <r>
      <rPr>
        <sz val="12"/>
        <rFont val="Arial"/>
        <family val="2"/>
      </rPr>
      <t>3.8%</t>
    </r>
  </si>
  <si>
    <t>Radeon HD5770</t>
  </si>
  <si>
    <r>
      <t>0910</t>
    </r>
    <r>
      <rPr>
        <sz val="12"/>
        <rFont val="細明體"/>
        <family val="3"/>
      </rPr>
      <t>更新</t>
    </r>
  </si>
  <si>
    <r>
      <t>1.</t>
    </r>
    <r>
      <rPr>
        <sz val="12"/>
        <rFont val="細明體"/>
        <family val="3"/>
      </rPr>
      <t>修正</t>
    </r>
    <r>
      <rPr>
        <sz val="12"/>
        <rFont val="Arial"/>
        <family val="2"/>
      </rPr>
      <t>HD4890</t>
    </r>
    <r>
      <rPr>
        <sz val="12"/>
        <rFont val="細明體"/>
        <family val="3"/>
      </rPr>
      <t>記憶體容量</t>
    </r>
  </si>
  <si>
    <r>
      <t>2.</t>
    </r>
    <r>
      <rPr>
        <sz val="12"/>
        <rFont val="細明體"/>
        <family val="3"/>
      </rPr>
      <t>補完</t>
    </r>
    <r>
      <rPr>
        <sz val="12"/>
        <rFont val="Arial"/>
        <family val="2"/>
      </rPr>
      <t>HD4860</t>
    </r>
    <r>
      <rPr>
        <sz val="12"/>
        <rFont val="細明體"/>
        <family val="3"/>
      </rPr>
      <t>資訊</t>
    </r>
    <r>
      <rPr>
        <sz val="12"/>
        <rFont val="Arial"/>
        <family val="2"/>
      </rPr>
      <t>,</t>
    </r>
    <r>
      <rPr>
        <sz val="12"/>
        <rFont val="細明體"/>
        <family val="3"/>
      </rPr>
      <t>增加</t>
    </r>
    <r>
      <rPr>
        <sz val="12"/>
        <rFont val="Arial"/>
        <family val="2"/>
      </rPr>
      <t>HD5850 HD5870</t>
    </r>
    <r>
      <rPr>
        <sz val="12"/>
        <rFont val="細明體"/>
        <family val="3"/>
      </rPr>
      <t>資訊；目前效能評分還在觀察階段</t>
    </r>
    <r>
      <rPr>
        <sz val="12"/>
        <rFont val="Arial"/>
        <family val="2"/>
      </rPr>
      <t>,</t>
    </r>
    <r>
      <rPr>
        <sz val="12"/>
        <rFont val="細明體"/>
        <family val="3"/>
      </rPr>
      <t>未來持續觀察</t>
    </r>
  </si>
  <si>
    <r>
      <t>3.</t>
    </r>
    <r>
      <rPr>
        <sz val="12"/>
        <rFont val="細明體"/>
        <family val="3"/>
      </rPr>
      <t>砍掉一些</t>
    </r>
    <r>
      <rPr>
        <sz val="12"/>
        <rFont val="Arial"/>
        <family val="2"/>
      </rPr>
      <t>Nvidia</t>
    </r>
    <r>
      <rPr>
        <sz val="12"/>
        <rFont val="細明體"/>
        <family val="3"/>
      </rPr>
      <t>不會賣的卡的隱藏資訊</t>
    </r>
    <r>
      <rPr>
        <sz val="12"/>
        <rFont val="Arial"/>
        <family val="2"/>
      </rPr>
      <t>,</t>
    </r>
    <r>
      <rPr>
        <sz val="12"/>
        <rFont val="細明體"/>
        <family val="3"/>
      </rPr>
      <t>更正</t>
    </r>
    <r>
      <rPr>
        <sz val="12"/>
        <rFont val="Arial"/>
        <family val="2"/>
      </rPr>
      <t>GT300</t>
    </r>
    <r>
      <rPr>
        <sz val="12"/>
        <rFont val="細明體"/>
        <family val="3"/>
      </rPr>
      <t>的隱藏資訊</t>
    </r>
  </si>
  <si>
    <r>
      <t>N</t>
    </r>
    <r>
      <rPr>
        <sz val="12"/>
        <rFont val="新細明體"/>
        <family val="1"/>
      </rPr>
      <t>卡</t>
    </r>
    <r>
      <rPr>
        <sz val="12"/>
        <rFont val="Arial"/>
        <family val="2"/>
      </rPr>
      <t>: 353</t>
    </r>
    <r>
      <rPr>
        <sz val="12"/>
        <rFont val="新細明體"/>
        <family val="1"/>
      </rPr>
      <t>佔</t>
    </r>
    <r>
      <rPr>
        <sz val="12"/>
        <rFont val="Arial"/>
        <family val="2"/>
      </rPr>
      <t>82.7% 1888</t>
    </r>
    <r>
      <rPr>
        <sz val="12"/>
        <rFont val="新細明體"/>
        <family val="1"/>
      </rPr>
      <t>佔</t>
    </r>
    <r>
      <rPr>
        <sz val="12"/>
        <rFont val="Arial"/>
        <family val="2"/>
      </rPr>
      <t>1.3% 787</t>
    </r>
    <r>
      <rPr>
        <sz val="12"/>
        <rFont val="新細明體"/>
        <family val="1"/>
      </rPr>
      <t>佔</t>
    </r>
    <r>
      <rPr>
        <sz val="12"/>
        <rFont val="Arial"/>
        <family val="2"/>
      </rPr>
      <t>9.3% 472</t>
    </r>
    <r>
      <rPr>
        <sz val="12"/>
        <rFont val="新細明體"/>
        <family val="1"/>
      </rPr>
      <t>佔</t>
    </r>
    <r>
      <rPr>
        <sz val="12"/>
        <rFont val="Arial"/>
        <family val="2"/>
      </rPr>
      <t>6.7%</t>
    </r>
  </si>
  <si>
    <r>
      <t>0911</t>
    </r>
    <r>
      <rPr>
        <sz val="12"/>
        <rFont val="細明體"/>
        <family val="3"/>
      </rPr>
      <t>更新</t>
    </r>
  </si>
  <si>
    <r>
      <t>1.</t>
    </r>
    <r>
      <rPr>
        <sz val="12"/>
        <rFont val="細明體"/>
        <family val="3"/>
      </rPr>
      <t>應</t>
    </r>
    <r>
      <rPr>
        <sz val="12"/>
        <rFont val="Arial"/>
        <family val="2"/>
      </rPr>
      <t>toyakoyo99</t>
    </r>
    <r>
      <rPr>
        <sz val="12"/>
        <rFont val="細明體"/>
        <family val="3"/>
      </rPr>
      <t>的指正</t>
    </r>
    <r>
      <rPr>
        <sz val="12"/>
        <rFont val="Arial"/>
        <family val="2"/>
      </rPr>
      <t>,HD4730</t>
    </r>
    <r>
      <rPr>
        <sz val="12"/>
        <rFont val="細明體"/>
        <family val="3"/>
      </rPr>
      <t>的</t>
    </r>
    <r>
      <rPr>
        <sz val="12"/>
        <rFont val="Arial"/>
        <family val="2"/>
      </rPr>
      <t>ROP</t>
    </r>
    <r>
      <rPr>
        <sz val="12"/>
        <rFont val="細明體"/>
        <family val="3"/>
      </rPr>
      <t>只有</t>
    </r>
    <r>
      <rPr>
        <sz val="12"/>
        <rFont val="Arial"/>
        <family val="2"/>
      </rPr>
      <t>8</t>
    </r>
    <r>
      <rPr>
        <sz val="12"/>
        <rFont val="細明體"/>
        <family val="3"/>
      </rPr>
      <t>個</t>
    </r>
  </si>
  <si>
    <r>
      <t>2.</t>
    </r>
    <r>
      <rPr>
        <sz val="12"/>
        <rFont val="細明體"/>
        <family val="3"/>
      </rPr>
      <t>應</t>
    </r>
    <r>
      <rPr>
        <sz val="12"/>
        <rFont val="Arial"/>
        <family val="2"/>
      </rPr>
      <t>Axel_K</t>
    </r>
    <r>
      <rPr>
        <sz val="12"/>
        <rFont val="細明體"/>
        <family val="3"/>
      </rPr>
      <t>的提醒</t>
    </r>
    <r>
      <rPr>
        <sz val="12"/>
        <rFont val="Arial"/>
        <family val="2"/>
      </rPr>
      <t>,</t>
    </r>
    <r>
      <rPr>
        <sz val="12"/>
        <rFont val="細明體"/>
        <family val="3"/>
      </rPr>
      <t>顯示卡最大功耗參考</t>
    </r>
    <r>
      <rPr>
        <sz val="12"/>
        <rFont val="Arial"/>
        <family val="2"/>
      </rPr>
      <t>ht4u.net</t>
    </r>
    <r>
      <rPr>
        <sz val="12"/>
        <rFont val="細明體"/>
        <family val="3"/>
      </rPr>
      <t>用</t>
    </r>
    <r>
      <rPr>
        <sz val="12"/>
        <rFont val="Arial"/>
        <family val="2"/>
      </rPr>
      <t>Furmark1.6</t>
    </r>
    <r>
      <rPr>
        <sz val="12"/>
        <rFont val="細明體"/>
        <family val="3"/>
      </rPr>
      <t>測試的數據</t>
    </r>
  </si>
  <si>
    <t>電晶體數</t>
  </si>
  <si>
    <r>
      <t>3.</t>
    </r>
    <r>
      <rPr>
        <sz val="12"/>
        <rFont val="細明體"/>
        <family val="3"/>
      </rPr>
      <t>由於本人電腦故障</t>
    </r>
    <r>
      <rPr>
        <sz val="12"/>
        <rFont val="Arial"/>
        <family val="2"/>
      </rPr>
      <t>, Folding@home</t>
    </r>
    <r>
      <rPr>
        <sz val="12"/>
        <rFont val="細明體"/>
        <family val="3"/>
      </rPr>
      <t>的所有數據暫停更新一次</t>
    </r>
  </si>
  <si>
    <r>
      <t>4.</t>
    </r>
    <r>
      <rPr>
        <sz val="12"/>
        <rFont val="細明體"/>
        <family val="3"/>
      </rPr>
      <t>增加</t>
    </r>
    <r>
      <rPr>
        <sz val="12"/>
        <rFont val="Arial"/>
        <family val="2"/>
      </rPr>
      <t>HD5770/5750,</t>
    </r>
    <r>
      <rPr>
        <sz val="12"/>
        <rFont val="細明體"/>
        <family val="3"/>
      </rPr>
      <t>與</t>
    </r>
    <r>
      <rPr>
        <sz val="12"/>
        <rFont val="Arial"/>
        <family val="2"/>
      </rPr>
      <t>GT220/210</t>
    </r>
    <r>
      <rPr>
        <sz val="12"/>
        <rFont val="細明體"/>
        <family val="3"/>
      </rPr>
      <t>的資料</t>
    </r>
  </si>
  <si>
    <r>
      <t>GPU</t>
    </r>
    <r>
      <rPr>
        <sz val="10"/>
        <rFont val="Arial Unicode MS"/>
        <family val="2"/>
      </rPr>
      <t>數量</t>
    </r>
  </si>
  <si>
    <r>
      <t>GPU</t>
    </r>
    <r>
      <rPr>
        <sz val="10"/>
        <rFont val="Arial Unicode MS"/>
        <family val="2"/>
      </rPr>
      <t>上限</t>
    </r>
  </si>
  <si>
    <r>
      <t>GPU</t>
    </r>
    <r>
      <rPr>
        <sz val="10"/>
        <rFont val="Arial Unicode MS"/>
        <family val="2"/>
      </rPr>
      <t>時脈</t>
    </r>
  </si>
  <si>
    <t>記憶體時脈</t>
  </si>
  <si>
    <t>紋理定址單元</t>
  </si>
  <si>
    <t>紋理繪圖單元</t>
  </si>
  <si>
    <t>光柵單元</t>
  </si>
  <si>
    <r>
      <t>PS</t>
    </r>
    <r>
      <rPr>
        <sz val="10"/>
        <rFont val="Arial Unicode MS"/>
        <family val="2"/>
      </rPr>
      <t>版本</t>
    </r>
  </si>
  <si>
    <r>
      <t>PS</t>
    </r>
    <r>
      <rPr>
        <sz val="10"/>
        <rFont val="Arial Unicode MS"/>
        <family val="2"/>
      </rPr>
      <t>數量</t>
    </r>
  </si>
  <si>
    <r>
      <t>VS</t>
    </r>
    <r>
      <rPr>
        <sz val="10"/>
        <rFont val="Arial Unicode MS"/>
        <family val="2"/>
      </rPr>
      <t>版本</t>
    </r>
  </si>
  <si>
    <r>
      <t>VS</t>
    </r>
    <r>
      <rPr>
        <sz val="10"/>
        <rFont val="Arial Unicode MS"/>
        <family val="2"/>
      </rPr>
      <t>數量</t>
    </r>
  </si>
  <si>
    <t>預估效能</t>
  </si>
  <si>
    <t>記憶體容量</t>
  </si>
  <si>
    <t>傳輸介面</t>
  </si>
  <si>
    <t>外接電源方向</t>
  </si>
  <si>
    <t>公版厚度</t>
  </si>
  <si>
    <t>TAU</t>
  </si>
  <si>
    <t>TMU</t>
  </si>
  <si>
    <t>ROP</t>
  </si>
  <si>
    <t>Shader</t>
  </si>
  <si>
    <t>GPU</t>
  </si>
  <si>
    <t>TMUV</t>
  </si>
  <si>
    <t>TAUV</t>
  </si>
  <si>
    <t>a</t>
  </si>
  <si>
    <t>b</t>
  </si>
  <si>
    <t>SHDR</t>
  </si>
  <si>
    <t>d</t>
  </si>
  <si>
    <t>RAM</t>
  </si>
  <si>
    <t>f</t>
  </si>
  <si>
    <t>w</t>
  </si>
  <si>
    <t>x</t>
  </si>
  <si>
    <t>y</t>
  </si>
  <si>
    <t>z</t>
  </si>
  <si>
    <r>
      <t>NV</t>
    </r>
    <r>
      <rPr>
        <sz val="10"/>
        <color indexed="22"/>
        <rFont val="Arial Unicode MS"/>
        <family val="2"/>
      </rPr>
      <t>係數</t>
    </r>
  </si>
  <si>
    <r>
      <t>ATI</t>
    </r>
    <r>
      <rPr>
        <sz val="10"/>
        <color indexed="22"/>
        <rFont val="Arial Unicode MS"/>
        <family val="2"/>
      </rPr>
      <t>係數</t>
    </r>
  </si>
  <si>
    <t>王卡</t>
  </si>
  <si>
    <t>Radeon HD5870</t>
  </si>
  <si>
    <t>Radeon HD5850</t>
  </si>
  <si>
    <t>Radeon HD5750</t>
  </si>
  <si>
    <t>Radeon HD4870X2</t>
  </si>
  <si>
    <t>向下</t>
  </si>
  <si>
    <t>Radeon HD4750</t>
  </si>
  <si>
    <t>&lt;9</t>
  </si>
  <si>
    <t>Radeon HD4350</t>
  </si>
  <si>
    <t>Radeon HD3870X2</t>
  </si>
  <si>
    <t>Radeon HD3850X2</t>
  </si>
  <si>
    <t>Radeon HD3870</t>
  </si>
  <si>
    <t>Radeon HD3850</t>
  </si>
  <si>
    <t>Radeon HD3830</t>
  </si>
  <si>
    <t>Radeon HD2900XTX</t>
  </si>
  <si>
    <t>Radeon HD2900XT</t>
  </si>
  <si>
    <t>Radeon HD2900PRO</t>
  </si>
  <si>
    <t>8P</t>
  </si>
  <si>
    <t>PCIE2.0</t>
  </si>
  <si>
    <t>Radeon HD3650</t>
  </si>
  <si>
    <t>Radeon HD2600XT</t>
  </si>
  <si>
    <t>Radeon HD2600PRO</t>
  </si>
  <si>
    <t>Radeon HD3470</t>
  </si>
  <si>
    <t>Radeon HD3450</t>
  </si>
  <si>
    <t>Radeon HD2400XT</t>
  </si>
  <si>
    <t>&lt;10</t>
  </si>
  <si>
    <t>Radeon HD2400PRO</t>
  </si>
  <si>
    <t>10</t>
  </si>
  <si>
    <t>10.1</t>
  </si>
  <si>
    <t>Radeon X1950XTX</t>
  </si>
  <si>
    <t>3.0</t>
  </si>
  <si>
    <t>9.0C</t>
  </si>
  <si>
    <t>Radeon X1950XT</t>
  </si>
  <si>
    <t>Radeon X1950PRO</t>
  </si>
  <si>
    <t>Radeon X1950GT</t>
  </si>
  <si>
    <t>Radeon AIW1900</t>
  </si>
  <si>
    <t>Radeon X1900XT</t>
  </si>
  <si>
    <t>Radeon X1900GT</t>
  </si>
  <si>
    <t>X360 Xenos</t>
  </si>
  <si>
    <t>Radeon X1800XT</t>
  </si>
  <si>
    <t>Radeon X1800XL</t>
  </si>
  <si>
    <t>Radeon AIW1800XL</t>
  </si>
  <si>
    <t>Radeon X1800GTO</t>
  </si>
  <si>
    <t>Radeon X1650 XT</t>
  </si>
  <si>
    <t>Radeon X1650 PRO</t>
  </si>
  <si>
    <t>Radeon X1600 XT</t>
  </si>
  <si>
    <t>Radeon X1600 PRO</t>
  </si>
  <si>
    <t>Radeon X1550</t>
  </si>
  <si>
    <t>2.0</t>
  </si>
  <si>
    <t>Radeon X1300 XT</t>
  </si>
  <si>
    <t>背面無記憶體顆粒的就是了</t>
  </si>
  <si>
    <t>6p</t>
  </si>
  <si>
    <t>Geforce 9800GX2</t>
  </si>
  <si>
    <t>Geforce 9800GTX</t>
  </si>
  <si>
    <t>不是公版</t>
  </si>
  <si>
    <t>Geforce 8800GTX</t>
  </si>
  <si>
    <t>Geforce 8800GTS SSC</t>
  </si>
  <si>
    <t>Geforce 8800GTS 640</t>
  </si>
  <si>
    <t>Geforce 8800GTS 512</t>
  </si>
  <si>
    <t>Geforce 8600GTS</t>
  </si>
  <si>
    <t>Geforce 8600GT</t>
  </si>
  <si>
    <t>Geforce 8500GT</t>
  </si>
  <si>
    <t>&lt;50</t>
  </si>
  <si>
    <t>Geforce 8400GS</t>
  </si>
  <si>
    <t>Geforce 9300GS</t>
  </si>
  <si>
    <t>Geforce 9300GE</t>
  </si>
  <si>
    <t>Geforce 9400 IGP</t>
  </si>
  <si>
    <t>Geforce 9300 IGP</t>
  </si>
  <si>
    <t>Geforce 8200 IGP</t>
  </si>
  <si>
    <t>Geforce 7950GX2</t>
  </si>
  <si>
    <t>Geforce 7900GX2</t>
  </si>
  <si>
    <t>向測</t>
  </si>
  <si>
    <t>Geforce 7900GTX</t>
  </si>
  <si>
    <t>Geforce 7900GTO</t>
  </si>
  <si>
    <t>Geforce 7950GT</t>
  </si>
  <si>
    <t>Geforce 7900GT</t>
  </si>
  <si>
    <t>Geforce 7900GS</t>
  </si>
  <si>
    <t>PS3 RSX</t>
  </si>
  <si>
    <t>Geforce 7800GTX 512</t>
  </si>
  <si>
    <t>Geforce 7800GTX</t>
  </si>
  <si>
    <t>Geforce 7800GT</t>
  </si>
  <si>
    <t>Geforce 7600GT</t>
  </si>
  <si>
    <t>Geforce 7300GT</t>
  </si>
  <si>
    <t>Geforce 7300GS</t>
  </si>
  <si>
    <t>Geforce 7300LE</t>
  </si>
  <si>
    <t>Geforce 7200GS</t>
  </si>
  <si>
    <t>Geforce 7100GS</t>
  </si>
  <si>
    <t>Geforce 7150IGP</t>
  </si>
  <si>
    <t>Geforce 7100IGP</t>
  </si>
  <si>
    <t>Geforce 7050IGP</t>
  </si>
  <si>
    <t>Geforce 7025IGP</t>
  </si>
  <si>
    <t>Geforce 6800GT</t>
  </si>
  <si>
    <t>Geforce 6800GS</t>
  </si>
  <si>
    <t>Geforce 6800</t>
  </si>
  <si>
    <t>Geforce 6800XT</t>
  </si>
  <si>
    <t>Geforce 6800LE</t>
  </si>
  <si>
    <t>Geforce 6600GT</t>
  </si>
  <si>
    <t>Geforce 6600</t>
  </si>
  <si>
    <t>Geforce 6200</t>
  </si>
  <si>
    <t>Geforce GT240</t>
  </si>
  <si>
    <t>Radeon HD5970</t>
  </si>
  <si>
    <t>Geforce GT220</t>
  </si>
  <si>
    <t>Geforce GT240</t>
  </si>
  <si>
    <r>
      <t>0912</t>
    </r>
    <r>
      <rPr>
        <sz val="12"/>
        <rFont val="細明體"/>
        <family val="3"/>
      </rPr>
      <t>更新</t>
    </r>
  </si>
  <si>
    <r>
      <t>1.HD5970</t>
    </r>
    <r>
      <rPr>
        <sz val="12"/>
        <rFont val="細明體"/>
        <family val="3"/>
      </rPr>
      <t>正式上式</t>
    </r>
    <r>
      <rPr>
        <sz val="12"/>
        <rFont val="Arial"/>
        <family val="2"/>
      </rPr>
      <t>,</t>
    </r>
    <r>
      <rPr>
        <sz val="12"/>
        <rFont val="細明體"/>
        <family val="3"/>
      </rPr>
      <t>新王卡上市</t>
    </r>
    <r>
      <rPr>
        <sz val="12"/>
        <rFont val="Arial"/>
        <family val="2"/>
      </rPr>
      <t>,</t>
    </r>
    <r>
      <rPr>
        <sz val="12"/>
        <rFont val="細明體"/>
        <family val="3"/>
      </rPr>
      <t>所以所有分數都重新調整</t>
    </r>
  </si>
  <si>
    <r>
      <t>2.</t>
    </r>
    <r>
      <rPr>
        <sz val="12"/>
        <rFont val="細明體"/>
        <family val="3"/>
      </rPr>
      <t>增加</t>
    </r>
    <r>
      <rPr>
        <sz val="12"/>
        <rFont val="Arial"/>
        <family val="2"/>
      </rPr>
      <t>GT240</t>
    </r>
    <r>
      <rPr>
        <sz val="12"/>
        <rFont val="細明體"/>
        <family val="3"/>
      </rPr>
      <t>的資料</t>
    </r>
    <r>
      <rPr>
        <sz val="12"/>
        <rFont val="Arial"/>
        <family val="2"/>
      </rPr>
      <t>,</t>
    </r>
    <r>
      <rPr>
        <sz val="12"/>
        <rFont val="細明體"/>
        <family val="3"/>
      </rPr>
      <t>增加</t>
    </r>
    <r>
      <rPr>
        <sz val="12"/>
        <rFont val="Arial"/>
        <family val="2"/>
      </rPr>
      <t>HD5950</t>
    </r>
    <r>
      <rPr>
        <sz val="12"/>
        <rFont val="細明體"/>
        <family val="3"/>
      </rPr>
      <t>的隱藏資料</t>
    </r>
  </si>
  <si>
    <r>
      <t>N</t>
    </r>
    <r>
      <rPr>
        <sz val="12"/>
        <rFont val="新細明體"/>
        <family val="1"/>
      </rPr>
      <t>卡</t>
    </r>
    <r>
      <rPr>
        <sz val="12"/>
        <rFont val="Arial"/>
        <family val="2"/>
      </rPr>
      <t>: 353</t>
    </r>
    <r>
      <rPr>
        <sz val="12"/>
        <rFont val="新細明體"/>
        <family val="1"/>
      </rPr>
      <t>佔</t>
    </r>
    <r>
      <rPr>
        <sz val="12"/>
        <rFont val="Arial"/>
        <family val="2"/>
      </rPr>
      <t>80.3% 1888</t>
    </r>
    <r>
      <rPr>
        <sz val="12"/>
        <rFont val="新細明體"/>
        <family val="1"/>
      </rPr>
      <t>佔</t>
    </r>
    <r>
      <rPr>
        <sz val="12"/>
        <rFont val="Arial"/>
        <family val="2"/>
      </rPr>
      <t>7.6% 787</t>
    </r>
    <r>
      <rPr>
        <sz val="12"/>
        <rFont val="新細明體"/>
        <family val="1"/>
      </rPr>
      <t>佔</t>
    </r>
    <r>
      <rPr>
        <sz val="12"/>
        <rFont val="Arial"/>
        <family val="2"/>
      </rPr>
      <t>9.8% 472</t>
    </r>
    <r>
      <rPr>
        <sz val="12"/>
        <rFont val="新細明體"/>
        <family val="1"/>
      </rPr>
      <t>佔</t>
    </r>
    <r>
      <rPr>
        <sz val="12"/>
        <rFont val="Arial"/>
        <family val="2"/>
      </rPr>
      <t>0.8% 384</t>
    </r>
    <r>
      <rPr>
        <sz val="12"/>
        <rFont val="新細明體"/>
        <family val="1"/>
      </rPr>
      <t>占</t>
    </r>
    <r>
      <rPr>
        <sz val="12"/>
        <rFont val="Arial"/>
        <family val="2"/>
      </rPr>
      <t>1.5%</t>
    </r>
  </si>
  <si>
    <t>Radeon HD5670</t>
  </si>
  <si>
    <t>?</t>
  </si>
  <si>
    <t>Radeon HD5750</t>
  </si>
  <si>
    <t>Radeon HD5770</t>
  </si>
  <si>
    <t>Radeon HD5850</t>
  </si>
  <si>
    <t>Radeon HD5870</t>
  </si>
  <si>
    <t>Radeon HD5970</t>
  </si>
  <si>
    <r>
      <t>1001</t>
    </r>
    <r>
      <rPr>
        <sz val="12"/>
        <rFont val="細明體"/>
        <family val="3"/>
      </rPr>
      <t>更新</t>
    </r>
  </si>
  <si>
    <r>
      <t>1.</t>
    </r>
    <r>
      <rPr>
        <sz val="12"/>
        <rFont val="細明體"/>
        <family val="3"/>
      </rPr>
      <t>更正</t>
    </r>
    <r>
      <rPr>
        <sz val="12"/>
        <rFont val="Arial"/>
        <family val="2"/>
      </rPr>
      <t>GTX275 ROP</t>
    </r>
    <r>
      <rPr>
        <sz val="12"/>
        <rFont val="細明體"/>
        <family val="3"/>
      </rPr>
      <t>資訊</t>
    </r>
    <r>
      <rPr>
        <sz val="12"/>
        <rFont val="Arial"/>
        <family val="2"/>
      </rPr>
      <t>,</t>
    </r>
    <r>
      <rPr>
        <sz val="12"/>
        <rFont val="細明體"/>
        <family val="3"/>
      </rPr>
      <t>感謝熱心玩家</t>
    </r>
    <r>
      <rPr>
        <sz val="12"/>
        <rFont val="Arial"/>
        <family val="2"/>
      </rPr>
      <t>MORI_RAN</t>
    </r>
    <r>
      <rPr>
        <sz val="12"/>
        <rFont val="細明體"/>
        <family val="3"/>
      </rPr>
      <t>的提醒</t>
    </r>
  </si>
  <si>
    <r>
      <t>2.</t>
    </r>
    <r>
      <rPr>
        <sz val="12"/>
        <rFont val="細明體"/>
        <family val="3"/>
      </rPr>
      <t>增加一些未上市新顯示卡的資訊</t>
    </r>
    <r>
      <rPr>
        <sz val="12"/>
        <rFont val="Arial"/>
        <family val="2"/>
      </rPr>
      <t>,</t>
    </r>
    <r>
      <rPr>
        <sz val="12"/>
        <rFont val="細明體"/>
        <family val="3"/>
      </rPr>
      <t>目前只在芭樂階段</t>
    </r>
    <r>
      <rPr>
        <sz val="12"/>
        <rFont val="Arial"/>
        <family val="2"/>
      </rPr>
      <t>,</t>
    </r>
    <r>
      <rPr>
        <sz val="12"/>
        <rFont val="細明體"/>
        <family val="3"/>
      </rPr>
      <t>所以不要當真</t>
    </r>
  </si>
  <si>
    <r>
      <t>3.Radeon 5</t>
    </r>
    <r>
      <rPr>
        <sz val="12"/>
        <rFont val="細明體"/>
        <family val="3"/>
      </rPr>
      <t>系列的</t>
    </r>
    <r>
      <rPr>
        <sz val="12"/>
        <rFont val="Arial"/>
        <family val="2"/>
      </rPr>
      <t>F@H PPD</t>
    </r>
    <r>
      <rPr>
        <sz val="12"/>
        <rFont val="細明體"/>
        <family val="3"/>
      </rPr>
      <t>值正式上表</t>
    </r>
  </si>
  <si>
    <r>
      <t>N</t>
    </r>
    <r>
      <rPr>
        <sz val="12"/>
        <rFont val="新細明體"/>
        <family val="1"/>
      </rPr>
      <t>卡</t>
    </r>
    <r>
      <rPr>
        <sz val="12"/>
        <rFont val="Arial"/>
        <family val="2"/>
      </rPr>
      <t>: 353</t>
    </r>
    <r>
      <rPr>
        <sz val="12"/>
        <rFont val="新細明體"/>
        <family val="1"/>
      </rPr>
      <t>佔</t>
    </r>
    <r>
      <rPr>
        <sz val="12"/>
        <rFont val="Arial"/>
        <family val="2"/>
      </rPr>
      <t>50% 584</t>
    </r>
    <r>
      <rPr>
        <sz val="12"/>
        <rFont val="新細明體"/>
        <family val="1"/>
      </rPr>
      <t>佔</t>
    </r>
    <r>
      <rPr>
        <sz val="12"/>
        <rFont val="Arial"/>
        <family val="2"/>
      </rPr>
      <t>50%</t>
    </r>
  </si>
  <si>
    <t>Core i7 OC 3.5Ghz</t>
  </si>
  <si>
    <r>
      <t>1002</t>
    </r>
    <r>
      <rPr>
        <sz val="12"/>
        <rFont val="細明體"/>
        <family val="3"/>
      </rPr>
      <t>更新</t>
    </r>
  </si>
  <si>
    <r>
      <t>1.</t>
    </r>
    <r>
      <rPr>
        <sz val="12"/>
        <rFont val="細明體"/>
        <family val="3"/>
      </rPr>
      <t>增加</t>
    </r>
    <r>
      <rPr>
        <sz val="12"/>
        <rFont val="Arial"/>
        <family val="2"/>
      </rPr>
      <t>HD5670</t>
    </r>
    <r>
      <rPr>
        <sz val="12"/>
        <rFont val="細明體"/>
        <family val="3"/>
      </rPr>
      <t>的資訊</t>
    </r>
  </si>
  <si>
    <t>Radeon HD5670</t>
  </si>
  <si>
    <r>
      <t>2.</t>
    </r>
    <r>
      <rPr>
        <sz val="12"/>
        <rFont val="細明體"/>
        <family val="3"/>
      </rPr>
      <t>調整</t>
    </r>
    <r>
      <rPr>
        <sz val="12"/>
        <rFont val="Arial"/>
        <family val="2"/>
      </rPr>
      <t xml:space="preserve"> AMD HD5800/5900</t>
    </r>
    <r>
      <rPr>
        <sz val="12"/>
        <rFont val="細明體"/>
        <family val="3"/>
      </rPr>
      <t>系列的效能公式</t>
    </r>
    <r>
      <rPr>
        <sz val="12"/>
        <rFont val="Arial"/>
        <family val="2"/>
      </rPr>
      <t>,</t>
    </r>
    <r>
      <rPr>
        <sz val="12"/>
        <rFont val="細明體"/>
        <family val="3"/>
      </rPr>
      <t>原則上所有</t>
    </r>
    <r>
      <rPr>
        <sz val="12"/>
        <rFont val="Arial"/>
        <family val="2"/>
      </rPr>
      <t>5</t>
    </r>
    <r>
      <rPr>
        <sz val="12"/>
        <rFont val="細明體"/>
        <family val="3"/>
      </rPr>
      <t>系列效能公式已經延用</t>
    </r>
    <r>
      <rPr>
        <sz val="12"/>
        <rFont val="Arial"/>
        <family val="2"/>
      </rPr>
      <t>4</t>
    </r>
    <r>
      <rPr>
        <sz val="12"/>
        <rFont val="細明體"/>
        <family val="3"/>
      </rPr>
      <t>系列</t>
    </r>
    <r>
      <rPr>
        <sz val="12"/>
        <rFont val="Arial"/>
        <family val="2"/>
      </rPr>
      <t>,</t>
    </r>
    <r>
      <rPr>
        <sz val="12"/>
        <rFont val="細明體"/>
        <family val="3"/>
      </rPr>
      <t>但是把</t>
    </r>
    <r>
      <rPr>
        <sz val="12"/>
        <rFont val="Arial"/>
        <family val="2"/>
      </rPr>
      <t>5800</t>
    </r>
    <r>
      <rPr>
        <sz val="12"/>
        <rFont val="細明體"/>
        <family val="3"/>
      </rPr>
      <t>的晶片本身視為兩個</t>
    </r>
    <r>
      <rPr>
        <sz val="12"/>
        <rFont val="Arial"/>
        <family val="2"/>
      </rPr>
      <t>5700</t>
    </r>
    <r>
      <rPr>
        <sz val="12"/>
        <rFont val="細明體"/>
        <family val="3"/>
      </rPr>
      <t>的合體</t>
    </r>
  </si>
  <si>
    <r>
      <t>因為動到卡王的公式</t>
    </r>
    <r>
      <rPr>
        <sz val="12"/>
        <rFont val="Arial"/>
        <family val="2"/>
      </rPr>
      <t>,</t>
    </r>
    <r>
      <rPr>
        <sz val="12"/>
        <rFont val="細明體"/>
        <family val="3"/>
      </rPr>
      <t>所以所有顯示卡的分數多少有點小變動</t>
    </r>
  </si>
  <si>
    <r>
      <t xml:space="preserve">3.FoldingCost </t>
    </r>
    <r>
      <rPr>
        <sz val="12"/>
        <rFont val="細明體"/>
        <family val="3"/>
      </rPr>
      <t>增加一顆</t>
    </r>
    <r>
      <rPr>
        <sz val="12"/>
        <rFont val="Arial"/>
        <family val="2"/>
      </rPr>
      <t>Intel</t>
    </r>
    <r>
      <rPr>
        <sz val="12"/>
        <rFont val="細明體"/>
        <family val="3"/>
      </rPr>
      <t>的</t>
    </r>
    <r>
      <rPr>
        <sz val="12"/>
        <rFont val="Arial"/>
        <family val="2"/>
      </rPr>
      <t>CPU</t>
    </r>
    <r>
      <rPr>
        <sz val="12"/>
        <rFont val="細明體"/>
        <family val="3"/>
      </rPr>
      <t>當比較參考</t>
    </r>
  </si>
  <si>
    <r>
      <t>N</t>
    </r>
    <r>
      <rPr>
        <sz val="12"/>
        <rFont val="新細明體"/>
        <family val="1"/>
      </rPr>
      <t>卡</t>
    </r>
    <r>
      <rPr>
        <sz val="12"/>
        <rFont val="Arial"/>
        <family val="2"/>
      </rPr>
      <t>: 783</t>
    </r>
    <r>
      <rPr>
        <sz val="12"/>
        <rFont val="新細明體"/>
        <family val="1"/>
      </rPr>
      <t>佔</t>
    </r>
    <r>
      <rPr>
        <sz val="12"/>
        <rFont val="Arial"/>
        <family val="2"/>
      </rPr>
      <t>12.8% 472</t>
    </r>
    <r>
      <rPr>
        <sz val="12"/>
        <rFont val="新細明體"/>
        <family val="1"/>
      </rPr>
      <t>佔</t>
    </r>
    <r>
      <rPr>
        <sz val="12"/>
        <rFont val="Arial"/>
        <family val="2"/>
      </rPr>
      <t>4.6% 1888</t>
    </r>
    <r>
      <rPr>
        <sz val="12"/>
        <rFont val="新細明體"/>
        <family val="1"/>
      </rPr>
      <t>佔</t>
    </r>
    <r>
      <rPr>
        <sz val="12"/>
        <rFont val="Arial"/>
        <family val="2"/>
      </rPr>
      <t>5.1% 353</t>
    </r>
    <r>
      <rPr>
        <sz val="12"/>
        <rFont val="新細明體"/>
        <family val="1"/>
      </rPr>
      <t>佔</t>
    </r>
    <r>
      <rPr>
        <sz val="12"/>
        <rFont val="Arial"/>
        <family val="2"/>
      </rPr>
      <t>74.4% 548</t>
    </r>
    <r>
      <rPr>
        <sz val="12"/>
        <rFont val="新細明體"/>
        <family val="1"/>
      </rPr>
      <t>佔</t>
    </r>
    <r>
      <rPr>
        <sz val="12"/>
        <rFont val="Arial"/>
        <family val="2"/>
      </rPr>
      <t>3.1%</t>
    </r>
  </si>
  <si>
    <t>890GX With sideport VRAM</t>
  </si>
  <si>
    <t>Radeon HD5450</t>
  </si>
  <si>
    <t>Radeon HD5570</t>
  </si>
  <si>
    <r>
      <t>1003</t>
    </r>
    <r>
      <rPr>
        <sz val="12"/>
        <rFont val="細明體"/>
        <family val="3"/>
      </rPr>
      <t>更新</t>
    </r>
  </si>
  <si>
    <r>
      <t>2.GT210 GT220 GT240 PS VS</t>
    </r>
    <r>
      <rPr>
        <sz val="12"/>
        <rFont val="細明體"/>
        <family val="3"/>
      </rPr>
      <t>版本應為</t>
    </r>
    <r>
      <rPr>
        <sz val="12"/>
        <rFont val="Arial"/>
        <family val="2"/>
      </rPr>
      <t xml:space="preserve">4.1, </t>
    </r>
    <r>
      <rPr>
        <sz val="12"/>
        <rFont val="細明體"/>
        <family val="3"/>
      </rPr>
      <t>感謝</t>
    </r>
    <r>
      <rPr>
        <sz val="12"/>
        <rFont val="Arial"/>
        <family val="2"/>
      </rPr>
      <t xml:space="preserve"> gfmes</t>
    </r>
    <r>
      <rPr>
        <sz val="12"/>
        <rFont val="細明體"/>
        <family val="3"/>
      </rPr>
      <t>提醒</t>
    </r>
  </si>
  <si>
    <t>矮檔板</t>
  </si>
  <si>
    <t>有</t>
  </si>
  <si>
    <t>Geforce 210</t>
  </si>
  <si>
    <t>Geforce 210</t>
  </si>
  <si>
    <t>沒有</t>
  </si>
  <si>
    <t>N/A</t>
  </si>
  <si>
    <r>
      <t>4.</t>
    </r>
    <r>
      <rPr>
        <sz val="12"/>
        <rFont val="細明體"/>
        <family val="3"/>
      </rPr>
      <t>增加短檔板的敘述</t>
    </r>
    <r>
      <rPr>
        <sz val="12"/>
        <rFont val="Arial"/>
        <family val="2"/>
      </rPr>
      <t>,</t>
    </r>
    <r>
      <rPr>
        <sz val="12"/>
        <rFont val="細明體"/>
        <family val="3"/>
      </rPr>
      <t>此敘述代表公版或通常性</t>
    </r>
    <r>
      <rPr>
        <sz val="12"/>
        <rFont val="Arial"/>
        <family val="2"/>
      </rPr>
      <t>,</t>
    </r>
    <r>
      <rPr>
        <sz val="12"/>
        <rFont val="細明體"/>
        <family val="3"/>
      </rPr>
      <t>極少數例外不在討論範圍內</t>
    </r>
  </si>
  <si>
    <t>Radeon HD5830</t>
  </si>
  <si>
    <t>Create9</t>
  </si>
  <si>
    <t>C9 Ratio</t>
  </si>
  <si>
    <r>
      <t>1.</t>
    </r>
    <r>
      <rPr>
        <sz val="12"/>
        <rFont val="細明體"/>
        <family val="3"/>
      </rPr>
      <t>增加</t>
    </r>
    <r>
      <rPr>
        <sz val="12"/>
        <rFont val="Arial"/>
        <family val="2"/>
      </rPr>
      <t>HD5830 HD5570 HD5450</t>
    </r>
    <r>
      <rPr>
        <sz val="12"/>
        <rFont val="細明體"/>
        <family val="3"/>
      </rPr>
      <t>的資訊</t>
    </r>
  </si>
  <si>
    <r>
      <t>N</t>
    </r>
    <r>
      <rPr>
        <sz val="12"/>
        <rFont val="新細明體"/>
        <family val="1"/>
      </rPr>
      <t>卡</t>
    </r>
    <r>
      <rPr>
        <sz val="12"/>
        <rFont val="Arial"/>
        <family val="2"/>
      </rPr>
      <t>: 445</t>
    </r>
    <r>
      <rPr>
        <sz val="12"/>
        <rFont val="新細明體"/>
        <family val="1"/>
      </rPr>
      <t>佔</t>
    </r>
    <r>
      <rPr>
        <sz val="12"/>
        <rFont val="Arial"/>
        <family val="2"/>
      </rPr>
      <t>6.7% 783</t>
    </r>
    <r>
      <rPr>
        <sz val="12"/>
        <rFont val="新細明體"/>
        <family val="1"/>
      </rPr>
      <t>佔</t>
    </r>
    <r>
      <rPr>
        <sz val="12"/>
        <rFont val="Arial"/>
        <family val="2"/>
      </rPr>
      <t>14.9% 472</t>
    </r>
    <r>
      <rPr>
        <sz val="12"/>
        <rFont val="新細明體"/>
        <family val="1"/>
      </rPr>
      <t>佔</t>
    </r>
    <r>
      <rPr>
        <sz val="12"/>
        <rFont val="Arial"/>
        <family val="2"/>
      </rPr>
      <t>19% 1888</t>
    </r>
    <r>
      <rPr>
        <sz val="12"/>
        <rFont val="新細明體"/>
        <family val="1"/>
      </rPr>
      <t>佔</t>
    </r>
    <r>
      <rPr>
        <sz val="12"/>
        <rFont val="Arial"/>
        <family val="2"/>
      </rPr>
      <t>2.5% 353</t>
    </r>
    <r>
      <rPr>
        <sz val="12"/>
        <rFont val="新細明體"/>
        <family val="1"/>
      </rPr>
      <t>佔</t>
    </r>
    <r>
      <rPr>
        <sz val="12"/>
        <rFont val="Arial"/>
        <family val="2"/>
      </rPr>
      <t>25.1% 548</t>
    </r>
    <r>
      <rPr>
        <sz val="12"/>
        <rFont val="新細明體"/>
        <family val="1"/>
      </rPr>
      <t>佔</t>
    </r>
    <r>
      <rPr>
        <sz val="12"/>
        <rFont val="Arial"/>
        <family val="2"/>
      </rPr>
      <t>20.5% 450</t>
    </r>
    <r>
      <rPr>
        <sz val="12"/>
        <rFont val="新細明體"/>
        <family val="1"/>
      </rPr>
      <t>佔</t>
    </r>
    <r>
      <rPr>
        <sz val="12"/>
        <rFont val="Arial"/>
        <family val="2"/>
      </rPr>
      <t>7.7% 375</t>
    </r>
    <r>
      <rPr>
        <sz val="12"/>
        <rFont val="新細明體"/>
        <family val="1"/>
      </rPr>
      <t>佔</t>
    </r>
    <r>
      <rPr>
        <sz val="12"/>
        <rFont val="Arial"/>
        <family val="2"/>
      </rPr>
      <t>2.6% 587</t>
    </r>
    <r>
      <rPr>
        <sz val="12"/>
        <rFont val="新細明體"/>
        <family val="1"/>
      </rPr>
      <t>佔</t>
    </r>
    <r>
      <rPr>
        <sz val="12"/>
        <rFont val="Arial"/>
        <family val="2"/>
      </rPr>
      <t>1%</t>
    </r>
  </si>
  <si>
    <r>
      <t>5.</t>
    </r>
    <r>
      <rPr>
        <sz val="12"/>
        <rFont val="細明體"/>
        <family val="3"/>
      </rPr>
      <t>增加</t>
    </r>
    <r>
      <rPr>
        <sz val="12"/>
        <rFont val="Arial"/>
        <family val="2"/>
      </rPr>
      <t>890GX</t>
    </r>
    <r>
      <rPr>
        <sz val="12"/>
        <rFont val="細明體"/>
        <family val="3"/>
      </rPr>
      <t>的隱藏資訊</t>
    </r>
  </si>
  <si>
    <r>
      <t>6.Folding@Home PPD</t>
    </r>
    <r>
      <rPr>
        <sz val="12"/>
        <rFont val="細明體"/>
        <family val="3"/>
      </rPr>
      <t>調整</t>
    </r>
    <r>
      <rPr>
        <sz val="12"/>
        <rFont val="Arial"/>
        <family val="2"/>
      </rPr>
      <t>WU</t>
    </r>
    <r>
      <rPr>
        <sz val="12"/>
        <rFont val="細明體"/>
        <family val="3"/>
      </rPr>
      <t>的出現率</t>
    </r>
    <r>
      <rPr>
        <sz val="12"/>
        <rFont val="Arial"/>
        <family val="2"/>
      </rPr>
      <t>:</t>
    </r>
  </si>
  <si>
    <t>Geforce GT220</t>
  </si>
  <si>
    <r>
      <t xml:space="preserve">3.Geforce GT210 </t>
    </r>
    <r>
      <rPr>
        <sz val="12"/>
        <rFont val="細明體"/>
        <family val="3"/>
      </rPr>
      <t>正名為</t>
    </r>
    <r>
      <rPr>
        <sz val="12"/>
        <rFont val="Arial"/>
        <family val="2"/>
      </rPr>
      <t>Geforce 210 ,</t>
    </r>
    <r>
      <rPr>
        <sz val="12"/>
        <rFont val="細明體"/>
        <family val="3"/>
      </rPr>
      <t>同時補足</t>
    </r>
    <r>
      <rPr>
        <sz val="12"/>
        <rFont val="Arial"/>
        <family val="2"/>
      </rPr>
      <t>GT220 210</t>
    </r>
    <r>
      <rPr>
        <sz val="12"/>
        <rFont val="細明體"/>
        <family val="3"/>
      </rPr>
      <t>的工藝資訊</t>
    </r>
  </si>
  <si>
    <t>Geforce GTX 470</t>
  </si>
  <si>
    <t>Geforce GTX 480</t>
  </si>
  <si>
    <t>Tessellation</t>
  </si>
  <si>
    <t>Ratoi</t>
  </si>
  <si>
    <r>
      <t>1004</t>
    </r>
    <r>
      <rPr>
        <sz val="12"/>
        <rFont val="細明體"/>
        <family val="3"/>
      </rPr>
      <t>更新</t>
    </r>
  </si>
  <si>
    <r>
      <t>1.HD5450</t>
    </r>
    <r>
      <rPr>
        <sz val="12"/>
        <rFont val="細明體"/>
        <family val="3"/>
      </rPr>
      <t>記憶體介面是</t>
    </r>
    <r>
      <rPr>
        <sz val="12"/>
        <rFont val="Arial"/>
        <family val="2"/>
      </rPr>
      <t>64bit</t>
    </r>
  </si>
  <si>
    <r>
      <t>2.</t>
    </r>
    <r>
      <rPr>
        <sz val="12"/>
        <rFont val="細明體"/>
        <family val="3"/>
      </rPr>
      <t>調整一些高階卡的功耗</t>
    </r>
  </si>
  <si>
    <r>
      <t>3.</t>
    </r>
    <r>
      <rPr>
        <sz val="12"/>
        <rFont val="細明體"/>
        <family val="3"/>
      </rPr>
      <t>增加</t>
    </r>
    <r>
      <rPr>
        <sz val="12"/>
        <rFont val="Arial"/>
        <family val="2"/>
      </rPr>
      <t>GTX480 GTX470</t>
    </r>
    <r>
      <rPr>
        <sz val="12"/>
        <rFont val="細明體"/>
        <family val="3"/>
      </rPr>
      <t>顯示卡</t>
    </r>
    <r>
      <rPr>
        <sz val="12"/>
        <rFont val="Arial"/>
        <family val="2"/>
      </rPr>
      <t>,</t>
    </r>
    <r>
      <rPr>
        <sz val="12"/>
        <rFont val="細明體"/>
        <family val="3"/>
      </rPr>
      <t>並增加</t>
    </r>
    <r>
      <rPr>
        <sz val="12"/>
        <rFont val="Arial"/>
        <family val="2"/>
      </rPr>
      <t>GF104</t>
    </r>
    <r>
      <rPr>
        <sz val="12"/>
        <rFont val="細明體"/>
        <family val="3"/>
      </rPr>
      <t>的隱藏資訊</t>
    </r>
  </si>
  <si>
    <r>
      <t>4.</t>
    </r>
    <r>
      <rPr>
        <sz val="12"/>
        <rFont val="細明體"/>
        <family val="3"/>
      </rPr>
      <t>增加</t>
    </r>
    <r>
      <rPr>
        <sz val="12"/>
        <rFont val="Arial"/>
        <family val="2"/>
      </rPr>
      <t>890GX</t>
    </r>
  </si>
  <si>
    <t>5.Folding@Home PPD調整WU的出現率:</t>
  </si>
  <si>
    <r>
      <t>A</t>
    </r>
    <r>
      <rPr>
        <sz val="12"/>
        <rFont val="新細明體"/>
        <family val="1"/>
      </rPr>
      <t>卡</t>
    </r>
    <r>
      <rPr>
        <sz val="12"/>
        <rFont val="Arial"/>
        <family val="2"/>
      </rPr>
      <t>: 511</t>
    </r>
    <r>
      <rPr>
        <sz val="12"/>
        <rFont val="新細明體"/>
        <family val="1"/>
      </rPr>
      <t>佔</t>
    </r>
    <r>
      <rPr>
        <sz val="12"/>
        <rFont val="Arial"/>
        <family val="2"/>
      </rPr>
      <t>30.6% 388</t>
    </r>
    <r>
      <rPr>
        <sz val="12"/>
        <rFont val="新細明體"/>
        <family val="1"/>
      </rPr>
      <t>佔</t>
    </r>
    <r>
      <rPr>
        <sz val="12"/>
        <rFont val="Arial"/>
        <family val="2"/>
      </rPr>
      <t>9.7% 384</t>
    </r>
    <r>
      <rPr>
        <sz val="12"/>
        <rFont val="新細明體"/>
        <family val="1"/>
      </rPr>
      <t>佔</t>
    </r>
    <r>
      <rPr>
        <sz val="12"/>
        <rFont val="Arial"/>
        <family val="2"/>
      </rPr>
      <t>38.7% 477</t>
    </r>
    <r>
      <rPr>
        <sz val="12"/>
        <rFont val="新細明體"/>
        <family val="1"/>
      </rPr>
      <t>佔</t>
    </r>
    <r>
      <rPr>
        <sz val="12"/>
        <rFont val="Arial"/>
        <family val="2"/>
      </rPr>
      <t>21%</t>
    </r>
  </si>
  <si>
    <r>
      <t>N</t>
    </r>
    <r>
      <rPr>
        <sz val="12"/>
        <rFont val="新細明體"/>
        <family val="1"/>
      </rPr>
      <t>卡</t>
    </r>
    <r>
      <rPr>
        <sz val="12"/>
        <rFont val="Arial"/>
        <family val="2"/>
      </rPr>
      <t>: 783</t>
    </r>
    <r>
      <rPr>
        <sz val="12"/>
        <rFont val="新細明體"/>
        <family val="1"/>
      </rPr>
      <t>佔</t>
    </r>
    <r>
      <rPr>
        <sz val="12"/>
        <rFont val="Arial"/>
        <family val="2"/>
      </rPr>
      <t>7.4% 353</t>
    </r>
    <r>
      <rPr>
        <sz val="12"/>
        <rFont val="新細明體"/>
        <family val="1"/>
      </rPr>
      <t>佔</t>
    </r>
    <r>
      <rPr>
        <sz val="12"/>
        <rFont val="Arial"/>
        <family val="2"/>
      </rPr>
      <t>41.9% 548</t>
    </r>
    <r>
      <rPr>
        <sz val="12"/>
        <rFont val="新細明體"/>
        <family val="1"/>
      </rPr>
      <t>佔</t>
    </r>
    <r>
      <rPr>
        <sz val="12"/>
        <rFont val="Arial"/>
        <family val="2"/>
      </rPr>
      <t>21.5% 450</t>
    </r>
    <r>
      <rPr>
        <sz val="12"/>
        <rFont val="新細明體"/>
        <family val="1"/>
      </rPr>
      <t>佔</t>
    </r>
    <r>
      <rPr>
        <sz val="12"/>
        <rFont val="Arial"/>
        <family val="2"/>
      </rPr>
      <t>16.2% 587</t>
    </r>
    <r>
      <rPr>
        <sz val="12"/>
        <rFont val="新細明體"/>
        <family val="1"/>
      </rPr>
      <t>佔</t>
    </r>
    <r>
      <rPr>
        <sz val="12"/>
        <rFont val="Arial"/>
        <family val="2"/>
      </rPr>
      <t>13%</t>
    </r>
  </si>
  <si>
    <t>Radeon HD5450</t>
  </si>
  <si>
    <t>N年分數/RMB</t>
  </si>
  <si>
    <r>
      <t>R</t>
    </r>
    <r>
      <rPr>
        <sz val="12"/>
        <rFont val="新細明體"/>
        <family val="1"/>
      </rPr>
      <t>MB</t>
    </r>
  </si>
  <si>
    <t>Geforce GT220</t>
  </si>
  <si>
    <t>Radeon HD 5870 Eyefinity 6</t>
  </si>
  <si>
    <r>
      <t>支援</t>
    </r>
    <r>
      <rPr>
        <sz val="12"/>
        <rFont val="Arial"/>
        <family val="2"/>
      </rPr>
      <t>6</t>
    </r>
    <r>
      <rPr>
        <sz val="12"/>
        <rFont val="細明體"/>
        <family val="3"/>
      </rPr>
      <t>螢幕</t>
    </r>
  </si>
  <si>
    <r>
      <t>1005</t>
    </r>
    <r>
      <rPr>
        <sz val="12"/>
        <rFont val="細明體"/>
        <family val="3"/>
      </rPr>
      <t>更新</t>
    </r>
  </si>
  <si>
    <r>
      <t>1.</t>
    </r>
    <r>
      <rPr>
        <sz val="12"/>
        <rFont val="細明體"/>
        <family val="3"/>
      </rPr>
      <t>因為</t>
    </r>
    <r>
      <rPr>
        <sz val="12"/>
        <rFont val="Arial"/>
        <family val="2"/>
      </rPr>
      <t>AMD</t>
    </r>
    <r>
      <rPr>
        <sz val="12"/>
        <rFont val="細明體"/>
        <family val="3"/>
      </rPr>
      <t>官網上確實有</t>
    </r>
    <r>
      <rPr>
        <sz val="12"/>
        <rFont val="Arial"/>
        <family val="2"/>
      </rPr>
      <t>Radeon HD 5870 Eyefinity 6</t>
    </r>
    <r>
      <rPr>
        <sz val="12"/>
        <rFont val="細明體"/>
        <family val="3"/>
      </rPr>
      <t>這個機種所以增加這張顯示卡</t>
    </r>
    <r>
      <rPr>
        <sz val="12"/>
        <rFont val="Arial"/>
        <family val="2"/>
      </rPr>
      <t>,</t>
    </r>
    <r>
      <rPr>
        <sz val="12"/>
        <rFont val="細明體"/>
        <family val="3"/>
      </rPr>
      <t>由於</t>
    </r>
    <r>
      <rPr>
        <sz val="12"/>
        <rFont val="Arial"/>
        <family val="2"/>
      </rPr>
      <t>VGAMaster</t>
    </r>
    <r>
      <rPr>
        <sz val="12"/>
        <rFont val="細明體"/>
        <family val="3"/>
      </rPr>
      <t>算式不會計入記憶體容量</t>
    </r>
    <r>
      <rPr>
        <sz val="12"/>
        <rFont val="Arial"/>
        <family val="2"/>
      </rPr>
      <t>,</t>
    </r>
    <r>
      <rPr>
        <sz val="12"/>
        <rFont val="細明體"/>
        <family val="3"/>
      </rPr>
      <t>所以效能評估數字會與</t>
    </r>
    <r>
      <rPr>
        <sz val="12"/>
        <rFont val="Arial"/>
        <family val="2"/>
      </rPr>
      <t>5870</t>
    </r>
    <r>
      <rPr>
        <sz val="12"/>
        <rFont val="細明體"/>
        <family val="3"/>
      </rPr>
      <t>一般版本元全相同</t>
    </r>
  </si>
  <si>
    <t>Radeon HD 5870 Eyefinity 6</t>
  </si>
  <si>
    <t>880G With sideport VRAM</t>
  </si>
  <si>
    <r>
      <t>2.</t>
    </r>
    <r>
      <rPr>
        <sz val="12"/>
        <rFont val="細明體"/>
        <family val="3"/>
      </rPr>
      <t>增加</t>
    </r>
    <r>
      <rPr>
        <sz val="12"/>
        <rFont val="Arial"/>
        <family val="2"/>
      </rPr>
      <t>880G</t>
    </r>
  </si>
  <si>
    <r>
      <t>3.</t>
    </r>
    <r>
      <rPr>
        <sz val="12"/>
        <rFont val="細明體"/>
        <family val="3"/>
      </rPr>
      <t>增加</t>
    </r>
    <r>
      <rPr>
        <sz val="12"/>
        <rFont val="Arial"/>
        <family val="2"/>
      </rPr>
      <t>GTX460</t>
    </r>
    <r>
      <rPr>
        <sz val="12"/>
        <rFont val="細明體"/>
        <family val="3"/>
      </rPr>
      <t>的可能隱藏資訊</t>
    </r>
  </si>
  <si>
    <r>
      <t>A</t>
    </r>
    <r>
      <rPr>
        <sz val="12"/>
        <rFont val="新細明體"/>
        <family val="1"/>
      </rPr>
      <t>卡</t>
    </r>
    <r>
      <rPr>
        <sz val="12"/>
        <rFont val="Arial"/>
        <family val="2"/>
      </rPr>
      <t>: 511</t>
    </r>
    <r>
      <rPr>
        <sz val="12"/>
        <rFont val="新細明體"/>
        <family val="1"/>
      </rPr>
      <t>佔</t>
    </r>
    <r>
      <rPr>
        <sz val="12"/>
        <rFont val="Arial"/>
        <family val="2"/>
      </rPr>
      <t>50% 384</t>
    </r>
    <r>
      <rPr>
        <sz val="12"/>
        <rFont val="新細明體"/>
        <family val="1"/>
      </rPr>
      <t>佔</t>
    </r>
    <r>
      <rPr>
        <sz val="12"/>
        <rFont val="Arial"/>
        <family val="2"/>
      </rPr>
      <t>50%</t>
    </r>
  </si>
  <si>
    <r>
      <t>N</t>
    </r>
    <r>
      <rPr>
        <sz val="12"/>
        <rFont val="新細明體"/>
        <family val="1"/>
      </rPr>
      <t>卡</t>
    </r>
    <r>
      <rPr>
        <sz val="12"/>
        <rFont val="Arial"/>
        <family val="2"/>
      </rPr>
      <t>: 783</t>
    </r>
    <r>
      <rPr>
        <sz val="12"/>
        <rFont val="新細明體"/>
        <family val="1"/>
      </rPr>
      <t>佔</t>
    </r>
    <r>
      <rPr>
        <sz val="12"/>
        <rFont val="Arial"/>
        <family val="2"/>
      </rPr>
      <t>9.4% 353</t>
    </r>
    <r>
      <rPr>
        <sz val="12"/>
        <rFont val="新細明體"/>
        <family val="1"/>
      </rPr>
      <t>佔</t>
    </r>
    <r>
      <rPr>
        <sz val="12"/>
        <rFont val="Arial"/>
        <family val="2"/>
      </rPr>
      <t>17.7% 548</t>
    </r>
    <r>
      <rPr>
        <sz val="12"/>
        <rFont val="新細明體"/>
        <family val="1"/>
      </rPr>
      <t>佔</t>
    </r>
    <r>
      <rPr>
        <sz val="12"/>
        <rFont val="Arial"/>
        <family val="2"/>
      </rPr>
      <t>20.9% 450</t>
    </r>
    <r>
      <rPr>
        <sz val="12"/>
        <rFont val="新細明體"/>
        <family val="1"/>
      </rPr>
      <t>佔</t>
    </r>
    <r>
      <rPr>
        <sz val="12"/>
        <rFont val="Arial"/>
        <family val="2"/>
      </rPr>
      <t>42.9% 587</t>
    </r>
    <r>
      <rPr>
        <sz val="12"/>
        <rFont val="新細明體"/>
        <family val="1"/>
      </rPr>
      <t>佔</t>
    </r>
    <r>
      <rPr>
        <sz val="12"/>
        <rFont val="Arial"/>
        <family val="2"/>
      </rPr>
      <t>9.1%</t>
    </r>
  </si>
  <si>
    <r>
      <t>4. F@H 450</t>
    </r>
    <r>
      <rPr>
        <sz val="12"/>
        <rFont val="細明體"/>
        <family val="3"/>
      </rPr>
      <t>分的</t>
    </r>
    <r>
      <rPr>
        <sz val="12"/>
        <rFont val="Arial"/>
        <family val="2"/>
      </rPr>
      <t>WU</t>
    </r>
    <r>
      <rPr>
        <sz val="12"/>
        <rFont val="細明體"/>
        <family val="3"/>
      </rPr>
      <t>由</t>
    </r>
    <r>
      <rPr>
        <sz val="12"/>
        <rFont val="Arial"/>
        <family val="2"/>
      </rPr>
      <t>Project 3469</t>
    </r>
    <r>
      <rPr>
        <sz val="12"/>
        <rFont val="細明體"/>
        <family val="3"/>
      </rPr>
      <t>改為</t>
    </r>
    <r>
      <rPr>
        <sz val="12"/>
        <rFont val="Arial"/>
        <family val="2"/>
      </rPr>
      <t>660x</t>
    </r>
  </si>
  <si>
    <t>5.Folding@Home PPD調整WU的出現率:</t>
  </si>
  <si>
    <t>Geforce GTX 465</t>
  </si>
  <si>
    <r>
      <t>1006</t>
    </r>
    <r>
      <rPr>
        <sz val="12"/>
        <rFont val="細明體"/>
        <family val="3"/>
      </rPr>
      <t>更新</t>
    </r>
  </si>
  <si>
    <r>
      <t>1.</t>
    </r>
    <r>
      <rPr>
        <sz val="12"/>
        <rFont val="細明體"/>
        <family val="3"/>
      </rPr>
      <t>增加</t>
    </r>
    <r>
      <rPr>
        <sz val="12"/>
        <rFont val="Arial"/>
        <family val="2"/>
      </rPr>
      <t>GTX465</t>
    </r>
    <r>
      <rPr>
        <sz val="12"/>
        <rFont val="細明體"/>
        <family val="3"/>
      </rPr>
      <t>的資料</t>
    </r>
  </si>
  <si>
    <t>F@H 
GPU2</t>
  </si>
  <si>
    <t>GPU3</t>
  </si>
  <si>
    <t>F@H 
GPU3</t>
  </si>
  <si>
    <t>Geforce GTX 465</t>
  </si>
  <si>
    <t>Geforce GTX 470</t>
  </si>
  <si>
    <t>Geforce GTX 480</t>
  </si>
  <si>
    <t>2.增加F@H GPU3條目</t>
  </si>
  <si>
    <t>3.F@H不再版本更新處公佈WU的出現機率</t>
  </si>
  <si>
    <t>向後</t>
  </si>
  <si>
    <r>
      <t>1007</t>
    </r>
    <r>
      <rPr>
        <sz val="12"/>
        <rFont val="細明體"/>
        <family val="3"/>
      </rPr>
      <t>更新</t>
    </r>
  </si>
  <si>
    <r>
      <t>1.</t>
    </r>
    <r>
      <rPr>
        <sz val="12"/>
        <rFont val="細明體"/>
        <family val="3"/>
      </rPr>
      <t>增加</t>
    </r>
    <r>
      <rPr>
        <sz val="12"/>
        <rFont val="Arial"/>
        <family val="2"/>
      </rPr>
      <t>GTX460</t>
    </r>
    <r>
      <rPr>
        <sz val="12"/>
        <rFont val="細明體"/>
        <family val="3"/>
      </rPr>
      <t>的隱藏資料</t>
    </r>
  </si>
  <si>
    <r>
      <t>2.GTX4</t>
    </r>
    <r>
      <rPr>
        <sz val="12"/>
        <rFont val="細明體"/>
        <family val="3"/>
      </rPr>
      <t>系列</t>
    </r>
    <r>
      <rPr>
        <sz val="12"/>
        <rFont val="Arial"/>
        <family val="2"/>
      </rPr>
      <t>GPU</t>
    </r>
    <r>
      <rPr>
        <sz val="12"/>
        <rFont val="細明體"/>
        <family val="3"/>
      </rPr>
      <t>上限修改</t>
    </r>
  </si>
  <si>
    <r>
      <t>3.</t>
    </r>
    <r>
      <rPr>
        <sz val="12"/>
        <rFont val="細明體"/>
        <family val="3"/>
      </rPr>
      <t>調整</t>
    </r>
    <r>
      <rPr>
        <sz val="12"/>
        <rFont val="Arial"/>
        <family val="2"/>
      </rPr>
      <t>HD5800/5900</t>
    </r>
    <r>
      <rPr>
        <sz val="12"/>
        <rFont val="細明體"/>
        <family val="3"/>
      </rPr>
      <t>系列效能</t>
    </r>
    <r>
      <rPr>
        <sz val="12"/>
        <rFont val="Arial"/>
        <family val="2"/>
      </rPr>
      <t>,</t>
    </r>
    <r>
      <rPr>
        <sz val="12"/>
        <rFont val="細明體"/>
        <family val="3"/>
      </rPr>
      <t>由其針對多卡部分</t>
    </r>
  </si>
  <si>
    <t>Geforce GTX 460 1GB</t>
  </si>
  <si>
    <t>Geforce GTX 460 768MB</t>
  </si>
  <si>
    <t>Geforce GTX 460 1GB</t>
  </si>
  <si>
    <t>Geforce GTX 460 768MB</t>
  </si>
  <si>
    <t>Radeon HD5830</t>
  </si>
  <si>
    <r>
      <t>1008</t>
    </r>
    <r>
      <rPr>
        <sz val="12"/>
        <rFont val="細明體"/>
        <family val="3"/>
      </rPr>
      <t>更新</t>
    </r>
  </si>
  <si>
    <r>
      <t>目前最新版本</t>
    </r>
    <r>
      <rPr>
        <sz val="12"/>
        <rFont val="Arial"/>
        <family val="2"/>
      </rPr>
      <t>:1008</t>
    </r>
  </si>
  <si>
    <t>Radeon HD6870</t>
  </si>
  <si>
    <t>沒有</t>
  </si>
  <si>
    <t>Geforce GTX 475</t>
  </si>
  <si>
    <t>Geforce GTS 450</t>
  </si>
  <si>
    <t>PCIE 2.0</t>
  </si>
  <si>
    <t>6P</t>
  </si>
  <si>
    <t>向後</t>
  </si>
  <si>
    <t>2Slot</t>
  </si>
  <si>
    <r>
      <t>1.</t>
    </r>
    <r>
      <rPr>
        <sz val="12"/>
        <rFont val="細明體"/>
        <family val="3"/>
      </rPr>
      <t>增加</t>
    </r>
    <r>
      <rPr>
        <sz val="12"/>
        <rFont val="Arial"/>
        <family val="2"/>
      </rPr>
      <t>GTX460</t>
    </r>
    <r>
      <rPr>
        <sz val="12"/>
        <rFont val="細明體"/>
        <family val="3"/>
      </rPr>
      <t>的完整資料</t>
    </r>
    <r>
      <rPr>
        <sz val="12"/>
        <rFont val="Arial"/>
        <family val="2"/>
      </rPr>
      <t>,</t>
    </r>
    <r>
      <rPr>
        <sz val="12"/>
        <rFont val="細明體"/>
        <family val="3"/>
      </rPr>
      <t>並修正</t>
    </r>
    <r>
      <rPr>
        <sz val="12"/>
        <rFont val="Arial"/>
        <family val="2"/>
      </rPr>
      <t>4</t>
    </r>
    <r>
      <rPr>
        <sz val="12"/>
        <rFont val="細明體"/>
        <family val="3"/>
      </rPr>
      <t>系列的效能公式包含</t>
    </r>
    <r>
      <rPr>
        <sz val="12"/>
        <rFont val="Arial"/>
        <family val="2"/>
      </rPr>
      <t>F@H GPU3</t>
    </r>
    <r>
      <rPr>
        <sz val="12"/>
        <rFont val="細明體"/>
        <family val="3"/>
      </rPr>
      <t>的部分</t>
    </r>
  </si>
  <si>
    <r>
      <t>2.</t>
    </r>
    <r>
      <rPr>
        <sz val="12"/>
        <rFont val="細明體"/>
        <family val="3"/>
      </rPr>
      <t>增加一些以後可能要上市的卡</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</si>
</sst>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404]AM/PM\ hh:mm:ss"/>
    <numFmt numFmtId="178" formatCode="0\W"/>
    <numFmt numFmtId="179" formatCode="\W"/>
    <numFmt numFmtId="180" formatCode="0&quot;MB&quot;"/>
    <numFmt numFmtId="181" formatCode="0&quot;M&quot;"/>
    <numFmt numFmtId="182" formatCode="0&quot;nm&quot;"/>
    <numFmt numFmtId="183" formatCode="0.0&quot;in&quot;"/>
    <numFmt numFmtId="184" formatCode="0.00&quot;in&quot;"/>
    <numFmt numFmtId="185" formatCode="0.00_ "/>
    <numFmt numFmtId="186" formatCode="0.0\ &quot;W&quot;"/>
    <numFmt numFmtId="187" formatCode="0\ &quot;NTD&quot;"/>
    <numFmt numFmtId="188" formatCode="0.00_);[Red]\(0.00\)"/>
    <numFmt numFmtId="189" formatCode="0.0"/>
    <numFmt numFmtId="190" formatCode="&quot;DDR&quot;0"/>
    <numFmt numFmtId="191" formatCode="#,##0_ "/>
    <numFmt numFmtId="192" formatCode="000"/>
    <numFmt numFmtId="193" formatCode="000&quot;mm²&quot;"/>
    <numFmt numFmtId="194" formatCode="0&quot;mm²&quot;"/>
    <numFmt numFmtId="195" formatCode="0.0%"/>
    <numFmt numFmtId="196" formatCode="0\ &quot;RMB&quot;"/>
    <numFmt numFmtId="197" formatCode="0_);[Red]\(0\)"/>
    <numFmt numFmtId="198" formatCode="0.0_ "/>
    <numFmt numFmtId="199" formatCode="&quot;Yes&quot;;&quot;Yes&quot;;&quot;No&quot;"/>
    <numFmt numFmtId="200" formatCode="&quot;True&quot;;&quot;True&quot;;&quot;False&quot;"/>
    <numFmt numFmtId="201" formatCode="&quot;On&quot;;&quot;On&quot;;&quot;Off&quot;"/>
    <numFmt numFmtId="202" formatCode="0&quot;W&quot;"/>
  </numFmts>
  <fonts count="37">
    <font>
      <sz val="12"/>
      <name val="新細明體"/>
      <family val="1"/>
    </font>
    <font>
      <sz val="9"/>
      <name val="新細明體"/>
      <family val="1"/>
    </font>
    <font>
      <u val="single"/>
      <sz val="12"/>
      <color indexed="12"/>
      <name val="新細明體"/>
      <family val="1"/>
    </font>
    <font>
      <u val="single"/>
      <sz val="12"/>
      <color indexed="20"/>
      <name val="新細明體"/>
      <family val="1"/>
    </font>
    <font>
      <sz val="10"/>
      <name val="Arial Unicode MS"/>
      <family val="2"/>
    </font>
    <font>
      <sz val="10"/>
      <color indexed="22"/>
      <name val="Arial Unicode MS"/>
      <family val="2"/>
    </font>
    <font>
      <sz val="12"/>
      <name val="Arial Unicode MS"/>
      <family val="2"/>
    </font>
    <font>
      <sz val="12"/>
      <color indexed="22"/>
      <name val="Arial Unicode MS"/>
      <family val="2"/>
    </font>
    <font>
      <b/>
      <sz val="9"/>
      <name val="新細明體"/>
      <family val="1"/>
    </font>
    <font>
      <sz val="12"/>
      <color indexed="8"/>
      <name val="Arial Unicode MS"/>
      <family val="2"/>
    </font>
    <font>
      <sz val="12"/>
      <name val="Arial"/>
      <family val="2"/>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Arial"/>
      <family val="2"/>
    </font>
    <font>
      <sz val="10"/>
      <color indexed="22"/>
      <name val="Arial"/>
      <family val="2"/>
    </font>
    <font>
      <sz val="12"/>
      <color indexed="10"/>
      <name val="Arial"/>
      <family val="2"/>
    </font>
    <font>
      <sz val="12"/>
      <color indexed="22"/>
      <name val="Arial"/>
      <family val="2"/>
    </font>
    <font>
      <sz val="12"/>
      <color indexed="11"/>
      <name val="Arial"/>
      <family val="2"/>
    </font>
    <font>
      <sz val="12"/>
      <color indexed="8"/>
      <name val="Arial"/>
      <family val="2"/>
    </font>
    <font>
      <sz val="12"/>
      <color indexed="22"/>
      <name val="細明體"/>
      <family val="3"/>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48"/>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4" fillId="16" borderId="0" applyNumberFormat="0" applyBorder="0" applyAlignment="0" applyProtection="0"/>
    <xf numFmtId="0" fontId="15" fillId="0" borderId="1"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97">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6" fillId="20" borderId="0" xfId="0" applyFont="1" applyFill="1" applyAlignment="1">
      <alignment vertical="center"/>
    </xf>
    <xf numFmtId="0" fontId="6" fillId="10" borderId="0" xfId="0" applyFont="1" applyFill="1" applyAlignment="1">
      <alignment vertical="center"/>
    </xf>
    <xf numFmtId="0" fontId="4" fillId="0" borderId="0" xfId="0" applyFont="1" applyFill="1" applyAlignment="1">
      <alignment vertical="center"/>
    </xf>
    <xf numFmtId="176" fontId="4" fillId="0" borderId="0" xfId="0" applyNumberFormat="1" applyFont="1" applyFill="1" applyAlignment="1">
      <alignment vertical="center"/>
    </xf>
    <xf numFmtId="0" fontId="4" fillId="0" borderId="0" xfId="0" applyFont="1" applyAlignment="1">
      <alignment horizontal="left" vertical="center"/>
    </xf>
    <xf numFmtId="0" fontId="4" fillId="0" borderId="0" xfId="0" applyFont="1" applyAlignment="1" quotePrefix="1">
      <alignment vertical="center"/>
    </xf>
    <xf numFmtId="10" fontId="4" fillId="0" borderId="0" xfId="0" applyNumberFormat="1" applyFont="1" applyAlignment="1">
      <alignment vertical="center"/>
    </xf>
    <xf numFmtId="0" fontId="6" fillId="0" borderId="10" xfId="0" applyFont="1" applyBorder="1" applyAlignment="1">
      <alignment horizontal="center" vertical="center"/>
    </xf>
    <xf numFmtId="0" fontId="6" fillId="24"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Alignment="1">
      <alignment vertical="center"/>
    </xf>
    <xf numFmtId="0" fontId="9" fillId="0" borderId="0" xfId="0" applyFont="1" applyAlignment="1">
      <alignment vertical="center"/>
    </xf>
    <xf numFmtId="0" fontId="4" fillId="3" borderId="0" xfId="0" applyFont="1" applyFill="1" applyAlignment="1">
      <alignment vertical="center"/>
    </xf>
    <xf numFmtId="0" fontId="4" fillId="0" borderId="10" xfId="0" applyFont="1" applyBorder="1" applyAlignment="1">
      <alignment vertical="top"/>
    </xf>
    <xf numFmtId="0" fontId="4" fillId="0" borderId="10" xfId="0" applyFont="1" applyBorder="1" applyAlignment="1">
      <alignment horizontal="center" vertical="top"/>
    </xf>
    <xf numFmtId="0" fontId="5" fillId="0" borderId="0" xfId="0" applyFont="1" applyAlignment="1">
      <alignment vertical="top"/>
    </xf>
    <xf numFmtId="0" fontId="4" fillId="0" borderId="0" xfId="0" applyFont="1" applyAlignment="1">
      <alignment vertical="top"/>
    </xf>
    <xf numFmtId="178" fontId="6" fillId="0" borderId="10" xfId="0" applyNumberFormat="1" applyFont="1" applyBorder="1" applyAlignment="1">
      <alignment horizontal="center" vertical="center"/>
    </xf>
    <xf numFmtId="178" fontId="9" fillId="0" borderId="10" xfId="0" applyNumberFormat="1" applyFont="1" applyBorder="1" applyAlignment="1">
      <alignment horizontal="center" vertical="center"/>
    </xf>
    <xf numFmtId="180" fontId="6" fillId="0" borderId="10" xfId="0" applyNumberFormat="1" applyFont="1" applyBorder="1" applyAlignment="1">
      <alignment horizontal="center" vertical="center"/>
    </xf>
    <xf numFmtId="0" fontId="0"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Alignment="1">
      <alignment horizontal="center" vertical="center"/>
    </xf>
    <xf numFmtId="1" fontId="6" fillId="0" borderId="10" xfId="0" applyNumberFormat="1" applyFont="1" applyFill="1" applyBorder="1" applyAlignment="1">
      <alignment horizontal="center" vertical="center"/>
    </xf>
    <xf numFmtId="187" fontId="6" fillId="24" borderId="10" xfId="0" applyNumberFormat="1" applyFont="1" applyFill="1" applyBorder="1" applyAlignment="1">
      <alignment horizontal="center" vertical="center"/>
    </xf>
    <xf numFmtId="186" fontId="6" fillId="0" borderId="10" xfId="0" applyNumberFormat="1" applyFont="1" applyBorder="1" applyAlignment="1">
      <alignment horizontal="center" vertical="center"/>
    </xf>
    <xf numFmtId="186" fontId="6" fillId="24" borderId="10" xfId="0" applyNumberFormat="1" applyFont="1" applyFill="1" applyBorder="1" applyAlignment="1">
      <alignment horizontal="center" vertical="center"/>
    </xf>
    <xf numFmtId="186" fontId="6" fillId="0" borderId="10" xfId="0" applyNumberFormat="1" applyFont="1" applyFill="1" applyBorder="1" applyAlignment="1">
      <alignment horizontal="center" vertical="center"/>
    </xf>
    <xf numFmtId="9" fontId="6" fillId="24" borderId="10" xfId="0" applyNumberFormat="1" applyFont="1" applyFill="1" applyBorder="1" applyAlignment="1">
      <alignment horizontal="center" vertical="center"/>
    </xf>
    <xf numFmtId="176" fontId="6" fillId="0" borderId="10" xfId="0" applyNumberFormat="1" applyFont="1" applyBorder="1" applyAlignment="1">
      <alignment horizontal="center" vertical="center"/>
    </xf>
    <xf numFmtId="187" fontId="6" fillId="0" borderId="10" xfId="0" applyNumberFormat="1" applyFont="1" applyFill="1" applyBorder="1" applyAlignment="1">
      <alignment horizontal="center" vertical="center"/>
    </xf>
    <xf numFmtId="189" fontId="6" fillId="16" borderId="10" xfId="0" applyNumberFormat="1" applyFont="1" applyFill="1" applyBorder="1" applyAlignment="1">
      <alignment horizontal="center" vertical="center"/>
    </xf>
    <xf numFmtId="176" fontId="6" fillId="7" borderId="10" xfId="0" applyNumberFormat="1" applyFont="1" applyFill="1" applyBorder="1" applyAlignment="1">
      <alignment horizontal="center" vertical="center"/>
    </xf>
    <xf numFmtId="185" fontId="6" fillId="7" borderId="10" xfId="0" applyNumberFormat="1" applyFont="1" applyFill="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191" fontId="6" fillId="0" borderId="10" xfId="0" applyNumberFormat="1" applyFont="1" applyBorder="1" applyAlignment="1">
      <alignment horizontal="center" vertical="center"/>
    </xf>
    <xf numFmtId="193" fontId="4" fillId="0" borderId="10" xfId="0" applyNumberFormat="1" applyFont="1" applyBorder="1" applyAlignment="1">
      <alignment horizontal="center" vertical="top"/>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24"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left" vertical="center"/>
    </xf>
    <xf numFmtId="0" fontId="0" fillId="0" borderId="0" xfId="0" applyFont="1" applyBorder="1" applyAlignment="1">
      <alignment horizontal="center" vertical="center"/>
    </xf>
    <xf numFmtId="0" fontId="0" fillId="20" borderId="10" xfId="0" applyFont="1" applyFill="1" applyBorder="1" applyAlignment="1">
      <alignment horizontal="center" vertical="center"/>
    </xf>
    <xf numFmtId="0" fontId="0" fillId="10" borderId="10" xfId="0" applyFont="1" applyFill="1" applyBorder="1" applyAlignment="1">
      <alignment horizontal="center" vertical="center" wrapText="1"/>
    </xf>
    <xf numFmtId="0" fontId="0" fillId="10" borderId="10" xfId="0" applyFont="1" applyFill="1" applyBorder="1" applyAlignment="1">
      <alignment horizontal="center" vertical="center"/>
    </xf>
    <xf numFmtId="0" fontId="4" fillId="0" borderId="10" xfId="0" applyFont="1" applyBorder="1" applyAlignment="1">
      <alignment horizontal="center" vertical="top" wrapText="1"/>
    </xf>
    <xf numFmtId="0" fontId="0" fillId="0" borderId="0" xfId="0" applyAlignment="1" quotePrefix="1">
      <alignment vertical="center"/>
    </xf>
    <xf numFmtId="44" fontId="0" fillId="0" borderId="0" xfId="41" applyFont="1" applyAlignment="1">
      <alignment vertical="center"/>
    </xf>
    <xf numFmtId="0" fontId="29" fillId="0" borderId="10" xfId="0" applyFont="1" applyBorder="1" applyAlignment="1">
      <alignment vertical="center"/>
    </xf>
    <xf numFmtId="0" fontId="29" fillId="0" borderId="10" xfId="0" applyFont="1" applyBorder="1" applyAlignment="1">
      <alignment horizontal="center" vertical="center"/>
    </xf>
    <xf numFmtId="0" fontId="29" fillId="0" borderId="10" xfId="0" applyFont="1" applyBorder="1" applyAlignment="1">
      <alignment horizontal="center" vertical="top"/>
    </xf>
    <xf numFmtId="0" fontId="30" fillId="0" borderId="0" xfId="0" applyFont="1" applyAlignment="1">
      <alignment vertical="top"/>
    </xf>
    <xf numFmtId="0" fontId="30" fillId="0" borderId="0" xfId="0" applyFont="1" applyFill="1" applyAlignment="1">
      <alignment vertical="top"/>
    </xf>
    <xf numFmtId="0" fontId="29" fillId="0" borderId="0" xfId="0" applyFont="1" applyAlignment="1">
      <alignment vertical="top"/>
    </xf>
    <xf numFmtId="0" fontId="29" fillId="3" borderId="0" xfId="0" applyFont="1" applyFill="1" applyAlignment="1">
      <alignment vertical="top"/>
    </xf>
    <xf numFmtId="0" fontId="31" fillId="20" borderId="10" xfId="0" applyFont="1" applyFill="1" applyBorder="1" applyAlignment="1">
      <alignment vertical="center"/>
    </xf>
    <xf numFmtId="0" fontId="10" fillId="20" borderId="10" xfId="0" applyFont="1" applyFill="1" applyBorder="1" applyAlignment="1">
      <alignment horizontal="center" vertical="center"/>
    </xf>
    <xf numFmtId="193" fontId="10" fillId="20" borderId="10" xfId="0" applyNumberFormat="1" applyFont="1" applyFill="1" applyBorder="1" applyAlignment="1">
      <alignment horizontal="center" vertical="center"/>
    </xf>
    <xf numFmtId="0" fontId="32" fillId="20" borderId="0" xfId="0" applyFont="1" applyFill="1" applyAlignment="1">
      <alignment vertical="center"/>
    </xf>
    <xf numFmtId="0" fontId="10" fillId="20" borderId="0" xfId="0" applyFont="1" applyFill="1" applyAlignment="1">
      <alignment vertical="center"/>
    </xf>
    <xf numFmtId="0" fontId="10" fillId="3" borderId="0" xfId="0" applyFont="1" applyFill="1" applyAlignment="1">
      <alignment vertical="center"/>
    </xf>
    <xf numFmtId="0" fontId="10" fillId="20" borderId="10" xfId="0"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Alignment="1">
      <alignment vertical="center"/>
    </xf>
    <xf numFmtId="176" fontId="10" fillId="0" borderId="0" xfId="0" applyNumberFormat="1" applyFont="1" applyFill="1" applyAlignment="1">
      <alignment vertical="center"/>
    </xf>
    <xf numFmtId="0" fontId="10" fillId="24" borderId="10" xfId="0" applyFont="1" applyFill="1" applyBorder="1" applyAlignment="1">
      <alignment horizontal="center" vertical="center"/>
    </xf>
    <xf numFmtId="189" fontId="10" fillId="0" borderId="10" xfId="0" applyNumberFormat="1" applyFont="1" applyFill="1" applyBorder="1" applyAlignment="1">
      <alignment horizontal="center" vertical="center"/>
    </xf>
    <xf numFmtId="176" fontId="10" fillId="25"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80" fontId="10" fillId="0" borderId="10" xfId="0" applyNumberFormat="1" applyFont="1" applyFill="1" applyBorder="1" applyAlignment="1">
      <alignment horizontal="center" vertical="center"/>
    </xf>
    <xf numFmtId="202" fontId="10" fillId="0" borderId="10" xfId="0" applyNumberFormat="1" applyFont="1" applyFill="1" applyBorder="1" applyAlignment="1">
      <alignment horizontal="center" vertical="center"/>
    </xf>
    <xf numFmtId="184" fontId="10"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center" vertical="center"/>
    </xf>
    <xf numFmtId="194" fontId="10" fillId="0" borderId="10" xfId="0" applyNumberFormat="1" applyFont="1" applyFill="1" applyBorder="1" applyAlignment="1">
      <alignment horizontal="center" vertical="center"/>
    </xf>
    <xf numFmtId="181" fontId="10" fillId="0" borderId="10" xfId="0" applyNumberFormat="1" applyFont="1" applyFill="1" applyBorder="1" applyAlignment="1">
      <alignment horizontal="center" vertical="center"/>
    </xf>
    <xf numFmtId="182" fontId="10"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0" fontId="32" fillId="0" borderId="0" xfId="0" applyFont="1" applyFill="1" applyAlignment="1">
      <alignment vertical="center"/>
    </xf>
    <xf numFmtId="176" fontId="32" fillId="0" borderId="0" xfId="0" applyNumberFormat="1" applyFont="1" applyFill="1" applyAlignment="1">
      <alignment vertical="center"/>
    </xf>
    <xf numFmtId="180" fontId="10" fillId="0" borderId="10" xfId="0" applyNumberFormat="1" applyFont="1" applyBorder="1" applyAlignment="1">
      <alignment horizontal="center" vertical="center"/>
    </xf>
    <xf numFmtId="178" fontId="10" fillId="0" borderId="10" xfId="0" applyNumberFormat="1" applyFont="1" applyFill="1" applyBorder="1" applyAlignment="1">
      <alignment horizontal="center" vertical="center"/>
    </xf>
    <xf numFmtId="0" fontId="32" fillId="0" borderId="0" xfId="0" applyFont="1" applyAlignment="1">
      <alignment vertical="center"/>
    </xf>
    <xf numFmtId="0" fontId="10" fillId="17" borderId="0" xfId="0" applyFont="1" applyFill="1" applyAlignment="1">
      <alignment vertical="center"/>
    </xf>
    <xf numFmtId="0" fontId="32" fillId="3" borderId="0" xfId="0" applyFont="1" applyFill="1" applyAlignment="1">
      <alignment vertical="center"/>
    </xf>
    <xf numFmtId="0" fontId="10" fillId="0" borderId="10" xfId="0" applyFont="1" applyBorder="1" applyAlignment="1">
      <alignment horizontal="center" vertical="center"/>
    </xf>
    <xf numFmtId="184" fontId="10" fillId="0" borderId="10" xfId="0" applyNumberFormat="1" applyFont="1" applyBorder="1" applyAlignment="1">
      <alignment horizontal="center" vertical="center"/>
    </xf>
    <xf numFmtId="190" fontId="10" fillId="0" borderId="10" xfId="0" applyNumberFormat="1" applyFont="1" applyBorder="1" applyAlignment="1">
      <alignment horizontal="center" vertical="center"/>
    </xf>
    <xf numFmtId="194" fontId="10" fillId="0" borderId="10" xfId="0" applyNumberFormat="1" applyFont="1" applyBorder="1" applyAlignment="1">
      <alignment horizontal="center" vertical="center"/>
    </xf>
    <xf numFmtId="181" fontId="10" fillId="0" borderId="10" xfId="0" applyNumberFormat="1" applyFont="1" applyBorder="1" applyAlignment="1">
      <alignment horizontal="center" vertical="center"/>
    </xf>
    <xf numFmtId="182" fontId="10" fillId="0" borderId="10" xfId="0" applyNumberFormat="1" applyFont="1" applyBorder="1" applyAlignment="1">
      <alignment horizontal="center" vertical="center"/>
    </xf>
    <xf numFmtId="0" fontId="10" fillId="0" borderId="10" xfId="0" applyFont="1" applyBorder="1" applyAlignment="1" quotePrefix="1">
      <alignment horizontal="center" vertical="center"/>
    </xf>
    <xf numFmtId="184" fontId="29" fillId="0" borderId="10" xfId="0" applyNumberFormat="1" applyFont="1" applyBorder="1" applyAlignment="1">
      <alignment horizontal="center" vertical="center"/>
    </xf>
    <xf numFmtId="178" fontId="10" fillId="0" borderId="10" xfId="0" applyNumberFormat="1" applyFont="1" applyBorder="1" applyAlignment="1">
      <alignment horizontal="center" vertical="center"/>
    </xf>
    <xf numFmtId="0" fontId="32" fillId="10" borderId="0" xfId="0" applyFont="1" applyFill="1" applyAlignment="1">
      <alignment vertical="center"/>
    </xf>
    <xf numFmtId="0" fontId="10" fillId="10" borderId="0" xfId="0" applyFont="1" applyFill="1" applyAlignment="1">
      <alignment vertical="center"/>
    </xf>
    <xf numFmtId="0" fontId="10" fillId="10" borderId="10" xfId="0" applyFont="1" applyFill="1" applyBorder="1" applyAlignment="1">
      <alignment vertical="center"/>
    </xf>
    <xf numFmtId="0" fontId="10" fillId="0" borderId="10" xfId="0" applyFont="1" applyFill="1" applyBorder="1" applyAlignment="1" quotePrefix="1">
      <alignment horizontal="center" vertical="center"/>
    </xf>
    <xf numFmtId="178" fontId="10" fillId="0" borderId="0" xfId="0" applyNumberFormat="1" applyFont="1" applyFill="1" applyAlignment="1">
      <alignment horizontal="center" vertical="center"/>
    </xf>
    <xf numFmtId="0" fontId="34" fillId="0" borderId="10" xfId="0" applyFont="1" applyBorder="1" applyAlignment="1">
      <alignment horizontal="center" vertical="center"/>
    </xf>
    <xf numFmtId="0" fontId="34" fillId="24"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0" xfId="0" applyFont="1" applyBorder="1" applyAlignment="1" quotePrefix="1">
      <alignment horizontal="center" vertical="center"/>
    </xf>
    <xf numFmtId="180" fontId="34" fillId="0" borderId="10" xfId="0" applyNumberFormat="1" applyFont="1" applyBorder="1" applyAlignment="1">
      <alignment horizontal="center" vertical="center"/>
    </xf>
    <xf numFmtId="184" fontId="34" fillId="0" borderId="10" xfId="0" applyNumberFormat="1" applyFont="1" applyBorder="1" applyAlignment="1">
      <alignment horizontal="center" vertical="center"/>
    </xf>
    <xf numFmtId="190" fontId="34" fillId="0" borderId="10" xfId="0" applyNumberFormat="1" applyFont="1" applyBorder="1" applyAlignment="1">
      <alignment horizontal="center" vertical="center"/>
    </xf>
    <xf numFmtId="194" fontId="34" fillId="0" borderId="10" xfId="0" applyNumberFormat="1" applyFont="1" applyBorder="1" applyAlignment="1">
      <alignment horizontal="center" vertical="center"/>
    </xf>
    <xf numFmtId="181" fontId="34" fillId="0" borderId="10" xfId="0" applyNumberFormat="1" applyFont="1" applyBorder="1" applyAlignment="1">
      <alignment horizontal="center" vertical="center"/>
    </xf>
    <xf numFmtId="182" fontId="34" fillId="0" borderId="10" xfId="0" applyNumberFormat="1" applyFont="1" applyBorder="1" applyAlignment="1">
      <alignment horizontal="center" vertical="center"/>
    </xf>
    <xf numFmtId="0" fontId="34" fillId="0" borderId="0" xfId="0" applyFont="1" applyAlignment="1">
      <alignment vertical="center"/>
    </xf>
    <xf numFmtId="0" fontId="34" fillId="0" borderId="0" xfId="0" applyFont="1" applyFill="1" applyAlignment="1">
      <alignment vertical="center"/>
    </xf>
    <xf numFmtId="0" fontId="10" fillId="17" borderId="10" xfId="0" applyFont="1" applyFill="1" applyBorder="1" applyAlignment="1">
      <alignment vertical="center"/>
    </xf>
    <xf numFmtId="0" fontId="0" fillId="26" borderId="10" xfId="0" applyFont="1" applyFill="1" applyBorder="1" applyAlignment="1">
      <alignment horizontal="center" vertical="center" wrapText="1"/>
    </xf>
    <xf numFmtId="0" fontId="11" fillId="0" borderId="0" xfId="0" applyFont="1" applyAlignment="1">
      <alignment vertical="center"/>
    </xf>
    <xf numFmtId="184" fontId="11" fillId="0" borderId="10" xfId="0" applyNumberFormat="1" applyFont="1" applyFill="1" applyBorder="1" applyAlignment="1">
      <alignment horizontal="center" vertical="center"/>
    </xf>
    <xf numFmtId="184" fontId="11" fillId="0" borderId="10" xfId="0" applyNumberFormat="1" applyFont="1" applyBorder="1" applyAlignment="1">
      <alignment horizontal="center" vertical="center"/>
    </xf>
    <xf numFmtId="198" fontId="10" fillId="0" borderId="10" xfId="0" applyNumberFormat="1" applyFont="1" applyFill="1" applyBorder="1" applyAlignment="1" quotePrefix="1">
      <alignment horizontal="center" vertical="center"/>
    </xf>
    <xf numFmtId="178" fontId="6" fillId="0" borderId="10" xfId="0" applyNumberFormat="1" applyFont="1" applyFill="1" applyBorder="1" applyAlignment="1">
      <alignment horizontal="center" vertical="center"/>
    </xf>
    <xf numFmtId="0" fontId="0" fillId="10" borderId="0" xfId="0" applyFont="1" applyFill="1" applyAlignment="1">
      <alignment horizontal="center" vertical="center" wrapText="1"/>
    </xf>
    <xf numFmtId="196" fontId="6" fillId="24" borderId="10" xfId="0" applyNumberFormat="1" applyFont="1" applyFill="1" applyBorder="1" applyAlignment="1">
      <alignment horizontal="center" vertical="center"/>
    </xf>
    <xf numFmtId="196" fontId="6" fillId="0" borderId="10" xfId="0" applyNumberFormat="1" applyFont="1" applyFill="1" applyBorder="1" applyAlignment="1">
      <alignment horizontal="center" vertical="center"/>
    </xf>
    <xf numFmtId="196" fontId="6" fillId="0" borderId="10" xfId="0" applyNumberFormat="1" applyFont="1" applyBorder="1" applyAlignment="1">
      <alignment horizontal="center" vertical="center"/>
    </xf>
    <xf numFmtId="196" fontId="6" fillId="7" borderId="10" xfId="0" applyNumberFormat="1" applyFont="1" applyFill="1" applyBorder="1" applyAlignment="1">
      <alignment horizontal="center" vertical="center"/>
    </xf>
    <xf numFmtId="198" fontId="6" fillId="7" borderId="10" xfId="0" applyNumberFormat="1" applyFont="1" applyFill="1" applyBorder="1" applyAlignment="1">
      <alignment horizontal="center" vertical="center"/>
    </xf>
    <xf numFmtId="0" fontId="0" fillId="10" borderId="0" xfId="0" applyFont="1" applyFill="1" applyAlignment="1">
      <alignment horizontal="center" vertical="center"/>
    </xf>
    <xf numFmtId="0" fontId="0" fillId="20" borderId="0" xfId="0" applyFont="1" applyFill="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24"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center" vertical="center"/>
    </xf>
    <xf numFmtId="0" fontId="11" fillId="0" borderId="10" xfId="0" applyFont="1" applyFill="1" applyBorder="1" applyAlignment="1">
      <alignment horizontal="center" vertical="center"/>
    </xf>
    <xf numFmtId="0" fontId="10" fillId="0" borderId="10" xfId="0" applyFont="1" applyFill="1" applyBorder="1" applyAlignment="1">
      <alignment vertical="center"/>
    </xf>
    <xf numFmtId="0" fontId="33" fillId="10" borderId="20" xfId="0" applyFont="1" applyFill="1" applyBorder="1" applyAlignment="1">
      <alignment vertical="center"/>
    </xf>
    <xf numFmtId="0" fontId="10" fillId="10" borderId="20" xfId="0" applyFont="1" applyFill="1" applyBorder="1" applyAlignment="1">
      <alignment horizontal="center" vertical="center"/>
    </xf>
    <xf numFmtId="180" fontId="10" fillId="10" borderId="20" xfId="0" applyNumberFormat="1" applyFont="1" applyFill="1" applyBorder="1" applyAlignment="1">
      <alignment horizontal="center" vertical="center"/>
    </xf>
    <xf numFmtId="178" fontId="10" fillId="10" borderId="20" xfId="0" applyNumberFormat="1" applyFont="1" applyFill="1" applyBorder="1" applyAlignment="1">
      <alignment horizontal="center" vertical="center"/>
    </xf>
    <xf numFmtId="184" fontId="10" fillId="10" borderId="20" xfId="0" applyNumberFormat="1" applyFont="1" applyFill="1" applyBorder="1" applyAlignment="1">
      <alignment horizontal="center" vertical="center"/>
    </xf>
    <xf numFmtId="190" fontId="10" fillId="10" borderId="20" xfId="0" applyNumberFormat="1" applyFont="1" applyFill="1" applyBorder="1" applyAlignment="1">
      <alignment horizontal="center" vertical="center"/>
    </xf>
    <xf numFmtId="194" fontId="10" fillId="10" borderId="20" xfId="0" applyNumberFormat="1" applyFont="1" applyFill="1" applyBorder="1" applyAlignment="1">
      <alignment horizontal="center" vertical="center"/>
    </xf>
    <xf numFmtId="181" fontId="10" fillId="10" borderId="20" xfId="0" applyNumberFormat="1" applyFont="1" applyFill="1" applyBorder="1" applyAlignment="1">
      <alignment horizontal="center" vertical="center"/>
    </xf>
    <xf numFmtId="182" fontId="10" fillId="10" borderId="20" xfId="0" applyNumberFormat="1" applyFont="1" applyFill="1" applyBorder="1" applyAlignment="1">
      <alignment horizontal="center" vertical="center"/>
    </xf>
    <xf numFmtId="0" fontId="10" fillId="10" borderId="21" xfId="0" applyFont="1" applyFill="1" applyBorder="1" applyAlignment="1">
      <alignment vertical="center"/>
    </xf>
    <xf numFmtId="0" fontId="10" fillId="0" borderId="21" xfId="0" applyFont="1" applyFill="1" applyBorder="1" applyAlignment="1">
      <alignment horizontal="center" vertical="center"/>
    </xf>
    <xf numFmtId="0" fontId="10" fillId="24" borderId="21" xfId="0" applyFont="1" applyFill="1" applyBorder="1" applyAlignment="1">
      <alignment horizontal="center" vertical="center"/>
    </xf>
    <xf numFmtId="0" fontId="10" fillId="0" borderId="21" xfId="0" applyFont="1" applyFill="1" applyBorder="1" applyAlignment="1" quotePrefix="1">
      <alignment horizontal="center" vertical="center"/>
    </xf>
    <xf numFmtId="176" fontId="10" fillId="25" borderId="21" xfId="0" applyNumberFormat="1" applyFont="1" applyFill="1" applyBorder="1" applyAlignment="1">
      <alignment horizontal="center" vertical="center"/>
    </xf>
    <xf numFmtId="176" fontId="10" fillId="0" borderId="21" xfId="0" applyNumberFormat="1" applyFont="1" applyFill="1" applyBorder="1" applyAlignment="1">
      <alignment horizontal="center" vertical="center"/>
    </xf>
    <xf numFmtId="180" fontId="10" fillId="0" borderId="21" xfId="0" applyNumberFormat="1" applyFont="1" applyFill="1" applyBorder="1" applyAlignment="1">
      <alignment horizontal="center" vertical="center"/>
    </xf>
    <xf numFmtId="178" fontId="10" fillId="0" borderId="21" xfId="0" applyNumberFormat="1" applyFont="1" applyFill="1" applyBorder="1" applyAlignment="1">
      <alignment horizontal="center" vertical="center"/>
    </xf>
    <xf numFmtId="0" fontId="6" fillId="0" borderId="21" xfId="0" applyFont="1" applyFill="1" applyBorder="1" applyAlignment="1">
      <alignment horizontal="center" vertical="center"/>
    </xf>
    <xf numFmtId="184" fontId="10" fillId="0" borderId="21" xfId="0" applyNumberFormat="1" applyFont="1" applyFill="1" applyBorder="1" applyAlignment="1">
      <alignment horizontal="center" vertical="center"/>
    </xf>
    <xf numFmtId="184" fontId="11" fillId="0" borderId="21" xfId="0" applyNumberFormat="1" applyFont="1" applyBorder="1" applyAlignment="1">
      <alignment horizontal="center" vertical="center"/>
    </xf>
    <xf numFmtId="190" fontId="10" fillId="0" borderId="21" xfId="0" applyNumberFormat="1" applyFont="1" applyFill="1" applyBorder="1" applyAlignment="1">
      <alignment horizontal="center" vertical="center"/>
    </xf>
    <xf numFmtId="194" fontId="10" fillId="0" borderId="21"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182" fontId="10" fillId="0" borderId="21" xfId="0" applyNumberFormat="1" applyFont="1" applyFill="1" applyBorder="1" applyAlignment="1">
      <alignment horizontal="center" vertical="center"/>
    </xf>
    <xf numFmtId="0" fontId="6" fillId="0" borderId="10" xfId="0" applyFont="1" applyFill="1" applyBorder="1" applyAlignment="1">
      <alignment vertical="center"/>
    </xf>
    <xf numFmtId="185" fontId="10" fillId="0" borderId="10" xfId="0" applyNumberFormat="1" applyFont="1" applyFill="1" applyBorder="1" applyAlignment="1">
      <alignment horizontal="center" vertical="center"/>
    </xf>
    <xf numFmtId="0" fontId="4" fillId="16" borderId="10" xfId="0" applyFont="1" applyFill="1" applyBorder="1" applyAlignment="1">
      <alignment horizontal="center" vertical="center"/>
    </xf>
    <xf numFmtId="0" fontId="29" fillId="16" borderId="10" xfId="0" applyFont="1" applyFill="1" applyBorder="1" applyAlignment="1">
      <alignment horizontal="center" vertical="center"/>
    </xf>
    <xf numFmtId="0" fontId="4" fillId="24" borderId="10" xfId="0" applyFont="1" applyFill="1" applyBorder="1" applyAlignment="1">
      <alignment horizontal="center" vertical="center"/>
    </xf>
    <xf numFmtId="0" fontId="29" fillId="24" borderId="10"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32" fillId="23" borderId="10" xfId="0" applyFont="1" applyFill="1" applyBorder="1" applyAlignment="1">
      <alignment horizontal="center" vertical="center"/>
    </xf>
    <xf numFmtId="0" fontId="32" fillId="23" borderId="0" xfId="0" applyFont="1" applyFill="1" applyAlignment="1">
      <alignment vertical="center"/>
    </xf>
    <xf numFmtId="176" fontId="32" fillId="23" borderId="0" xfId="0" applyNumberFormat="1" applyFont="1" applyFill="1" applyAlignment="1">
      <alignment vertical="center"/>
    </xf>
    <xf numFmtId="0" fontId="7" fillId="23" borderId="0" xfId="0" applyFont="1" applyFill="1" applyAlignment="1">
      <alignment vertical="center"/>
    </xf>
    <xf numFmtId="0" fontId="32" fillId="23" borderId="10" xfId="0" applyFont="1" applyFill="1" applyBorder="1" applyAlignment="1">
      <alignment vertical="center"/>
    </xf>
    <xf numFmtId="189" fontId="32" fillId="23" borderId="10" xfId="0" applyNumberFormat="1" applyFont="1" applyFill="1" applyBorder="1" applyAlignment="1">
      <alignment horizontal="center" vertical="center"/>
    </xf>
    <xf numFmtId="176" fontId="32" fillId="23" borderId="10" xfId="0" applyNumberFormat="1" applyFont="1" applyFill="1" applyBorder="1" applyAlignment="1">
      <alignment horizontal="center" vertical="center"/>
    </xf>
    <xf numFmtId="180" fontId="32" fillId="23" borderId="10" xfId="0" applyNumberFormat="1" applyFont="1" applyFill="1" applyBorder="1" applyAlignment="1">
      <alignment horizontal="center" vertical="center"/>
    </xf>
    <xf numFmtId="202" fontId="32" fillId="23" borderId="10" xfId="0" applyNumberFormat="1" applyFont="1" applyFill="1" applyBorder="1" applyAlignment="1">
      <alignment horizontal="center" vertical="center"/>
    </xf>
    <xf numFmtId="0" fontId="7" fillId="23" borderId="10" xfId="0" applyFont="1" applyFill="1" applyBorder="1" applyAlignment="1">
      <alignment horizontal="center" vertical="center"/>
    </xf>
    <xf numFmtId="184" fontId="32" fillId="23" borderId="10" xfId="0" applyNumberFormat="1" applyFont="1" applyFill="1" applyBorder="1" applyAlignment="1">
      <alignment horizontal="center" vertical="center"/>
    </xf>
    <xf numFmtId="184" fontId="35" fillId="23" borderId="10" xfId="0" applyNumberFormat="1" applyFont="1" applyFill="1" applyBorder="1" applyAlignment="1">
      <alignment horizontal="center" vertical="center"/>
    </xf>
    <xf numFmtId="190" fontId="32" fillId="23" borderId="10" xfId="0" applyNumberFormat="1" applyFont="1" applyFill="1" applyBorder="1" applyAlignment="1">
      <alignment horizontal="center" vertical="center"/>
    </xf>
    <xf numFmtId="194" fontId="32" fillId="23" borderId="10" xfId="0" applyNumberFormat="1" applyFont="1" applyFill="1" applyBorder="1" applyAlignment="1">
      <alignment horizontal="center" vertical="center"/>
    </xf>
    <xf numFmtId="181" fontId="32" fillId="23" borderId="10" xfId="0" applyNumberFormat="1" applyFont="1" applyFill="1" applyBorder="1" applyAlignment="1">
      <alignment horizontal="center" vertical="center"/>
    </xf>
    <xf numFmtId="182" fontId="32" fillId="23" borderId="10" xfId="0" applyNumberFormat="1" applyFont="1" applyFill="1" applyBorder="1" applyAlignment="1">
      <alignment horizontal="center" vertical="center"/>
    </xf>
    <xf numFmtId="198" fontId="32" fillId="23" borderId="10" xfId="0" applyNumberFormat="1" applyFont="1" applyFill="1" applyBorder="1" applyAlignment="1" quotePrefix="1">
      <alignment horizontal="center" vertical="center"/>
    </xf>
    <xf numFmtId="178" fontId="32" fillId="23" borderId="10" xfId="0" applyNumberFormat="1" applyFont="1" applyFill="1" applyBorder="1" applyAlignment="1">
      <alignment horizontal="center" vertical="center"/>
    </xf>
    <xf numFmtId="0" fontId="7" fillId="23" borderId="10" xfId="0" applyFont="1" applyFill="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M165"/>
  <sheetViews>
    <sheetView tabSelected="1" zoomScale="85" zoomScaleNormal="85" workbookViewId="0" topLeftCell="A1">
      <pane xSplit="2" ySplit="2" topLeftCell="C3" activePane="bottomRight" state="frozen"/>
      <selection pane="topLeft" activeCell="A1" sqref="A1"/>
      <selection pane="topRight" activeCell="B1" sqref="B1"/>
      <selection pane="bottomLeft" activeCell="A3" sqref="A3"/>
      <selection pane="bottomRight" activeCell="H21" sqref="H21"/>
    </sheetView>
  </sheetViews>
  <sheetFormatPr defaultColWidth="9.00390625" defaultRowHeight="16.5"/>
  <cols>
    <col min="1" max="1" width="5.00390625" style="1" customWidth="1"/>
    <col min="2" max="2" width="27.50390625" style="1" customWidth="1"/>
    <col min="3" max="3" width="7.75390625" style="1" customWidth="1"/>
    <col min="4" max="4" width="7.00390625" style="1" customWidth="1"/>
    <col min="5" max="5" width="7.375" style="1" customWidth="1"/>
    <col min="6" max="6" width="9.125" style="1" customWidth="1"/>
    <col min="7" max="7" width="11.50390625" style="1" customWidth="1"/>
    <col min="8" max="8" width="9.00390625" style="1" customWidth="1"/>
    <col min="9" max="9" width="10.00390625" style="1" customWidth="1"/>
    <col min="10" max="10" width="10.875" style="1" customWidth="1"/>
    <col min="11" max="11" width="6.875" style="1" customWidth="1"/>
    <col min="12" max="12" width="5.625" style="1" customWidth="1"/>
    <col min="13" max="13" width="6.50390625" style="1" customWidth="1"/>
    <col min="14" max="14" width="6.625" style="1" customWidth="1"/>
    <col min="15" max="15" width="7.00390625" style="1" customWidth="1"/>
    <col min="16" max="16" width="7.625" style="1" customWidth="1"/>
    <col min="17" max="18" width="8.125" style="1" customWidth="1"/>
    <col min="19" max="19" width="10.00390625" style="1" customWidth="1"/>
    <col min="20" max="23" width="9.00390625" style="1" customWidth="1"/>
    <col min="24" max="24" width="10.50390625" style="1" customWidth="1"/>
    <col min="25" max="25" width="6.75390625" style="1" customWidth="1"/>
    <col min="26" max="29" width="9.00390625" style="1" customWidth="1"/>
    <col min="30" max="30" width="9.625" style="1" customWidth="1"/>
    <col min="31" max="31" width="9.00390625" style="1" customWidth="1"/>
    <col min="32" max="32" width="9.50390625" style="1" customWidth="1"/>
    <col min="33" max="33" width="24.25390625" style="1" customWidth="1"/>
    <col min="34" max="38" width="9.00390625" style="2" hidden="1" customWidth="1"/>
    <col min="39" max="39" width="10.125" style="2" hidden="1" customWidth="1"/>
    <col min="40" max="55" width="9.00390625" style="2" hidden="1" customWidth="1"/>
    <col min="56" max="57" width="9.00390625" style="3" hidden="1" customWidth="1"/>
    <col min="58" max="66" width="9.00390625" style="1" hidden="1" customWidth="1"/>
    <col min="67" max="67" width="9.00390625" style="19" hidden="1" customWidth="1"/>
    <col min="68" max="68" width="9.875" style="1" hidden="1" customWidth="1"/>
    <col min="69" max="169" width="9.00390625" style="1" hidden="1" customWidth="1"/>
    <col min="170" max="16384" width="9.00390625" style="1" customWidth="1"/>
  </cols>
  <sheetData>
    <row r="1" spans="1:169" ht="14.25" customHeight="1">
      <c r="A1" s="58"/>
      <c r="B1" s="59"/>
      <c r="C1" s="169" t="s">
        <v>15</v>
      </c>
      <c r="D1" s="170"/>
      <c r="E1" s="170"/>
      <c r="F1" s="170"/>
      <c r="G1" s="170"/>
      <c r="H1" s="170"/>
      <c r="I1" s="170"/>
      <c r="J1" s="170"/>
      <c r="K1" s="170"/>
      <c r="L1" s="170"/>
      <c r="M1" s="170"/>
      <c r="N1" s="170"/>
      <c r="O1" s="170"/>
      <c r="P1" s="170"/>
      <c r="Q1" s="170"/>
      <c r="R1" s="170"/>
      <c r="S1" s="170"/>
      <c r="T1" s="175" t="s">
        <v>16</v>
      </c>
      <c r="U1" s="176"/>
      <c r="V1" s="176"/>
      <c r="W1" s="176"/>
      <c r="X1" s="176"/>
      <c r="Y1" s="176"/>
      <c r="Z1" s="176"/>
      <c r="AA1" s="177"/>
      <c r="AB1" s="59"/>
      <c r="AC1" s="171" t="s">
        <v>17</v>
      </c>
      <c r="AD1" s="172"/>
      <c r="AE1" s="172"/>
      <c r="AF1" s="172"/>
      <c r="AG1" s="59"/>
      <c r="AH1" s="173" t="s">
        <v>74</v>
      </c>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E1" s="63" t="s">
        <v>603</v>
      </c>
      <c r="FF1" s="63" t="s">
        <v>64</v>
      </c>
      <c r="FG1" s="61" t="s">
        <v>65</v>
      </c>
      <c r="FH1" s="63" t="s">
        <v>66</v>
      </c>
      <c r="FI1" s="61" t="s">
        <v>67</v>
      </c>
      <c r="FJ1" s="63" t="s">
        <v>68</v>
      </c>
      <c r="FK1" s="63" t="s">
        <v>69</v>
      </c>
      <c r="FL1" s="64" t="s">
        <v>72</v>
      </c>
      <c r="FM1" s="63" t="s">
        <v>73</v>
      </c>
    </row>
    <row r="2" spans="1:159" s="23" customFormat="1" ht="24" customHeight="1">
      <c r="A2" s="20" t="s">
        <v>71</v>
      </c>
      <c r="B2" s="21" t="s">
        <v>19</v>
      </c>
      <c r="C2" s="60" t="s">
        <v>388</v>
      </c>
      <c r="D2" s="60" t="s">
        <v>389</v>
      </c>
      <c r="E2" s="60" t="s">
        <v>390</v>
      </c>
      <c r="F2" s="21" t="s">
        <v>391</v>
      </c>
      <c r="G2" s="55" t="s">
        <v>317</v>
      </c>
      <c r="H2" s="21" t="s">
        <v>20</v>
      </c>
      <c r="I2" s="21" t="s">
        <v>392</v>
      </c>
      <c r="J2" s="21" t="s">
        <v>393</v>
      </c>
      <c r="K2" s="21" t="s">
        <v>394</v>
      </c>
      <c r="L2" s="60" t="s">
        <v>395</v>
      </c>
      <c r="M2" s="60" t="s">
        <v>396</v>
      </c>
      <c r="N2" s="60" t="s">
        <v>397</v>
      </c>
      <c r="O2" s="60" t="s">
        <v>398</v>
      </c>
      <c r="P2" s="21" t="s">
        <v>399</v>
      </c>
      <c r="Q2" t="s">
        <v>602</v>
      </c>
      <c r="R2" t="s">
        <v>604</v>
      </c>
      <c r="S2" s="21" t="s">
        <v>400</v>
      </c>
      <c r="T2" s="21" t="s">
        <v>46</v>
      </c>
      <c r="U2" s="21" t="s">
        <v>53</v>
      </c>
      <c r="V2" s="21" t="s">
        <v>401</v>
      </c>
      <c r="W2" s="21" t="s">
        <v>10</v>
      </c>
      <c r="X2" s="21" t="s">
        <v>402</v>
      </c>
      <c r="Y2" s="21" t="s">
        <v>403</v>
      </c>
      <c r="Z2" s="21" t="s">
        <v>11</v>
      </c>
      <c r="AA2" s="21" t="s">
        <v>555</v>
      </c>
      <c r="AB2" s="60" t="s">
        <v>12</v>
      </c>
      <c r="AC2" s="21" t="s">
        <v>13</v>
      </c>
      <c r="AD2" s="45" t="s">
        <v>9</v>
      </c>
      <c r="AE2" s="21" t="s">
        <v>385</v>
      </c>
      <c r="AF2" s="21" t="s">
        <v>75</v>
      </c>
      <c r="AG2" s="21" t="s">
        <v>14</v>
      </c>
      <c r="AH2" s="61"/>
      <c r="AI2" s="61" t="s">
        <v>404</v>
      </c>
      <c r="AJ2" s="61" t="s">
        <v>405</v>
      </c>
      <c r="AK2" s="61" t="s">
        <v>406</v>
      </c>
      <c r="AL2" s="61" t="s">
        <v>407</v>
      </c>
      <c r="AM2" s="61" t="s">
        <v>66</v>
      </c>
      <c r="AN2" s="61" t="s">
        <v>408</v>
      </c>
      <c r="AO2" s="61" t="s">
        <v>409</v>
      </c>
      <c r="AP2" s="61" t="s">
        <v>410</v>
      </c>
      <c r="AQ2" s="61" t="s">
        <v>411</v>
      </c>
      <c r="AR2" s="61" t="s">
        <v>412</v>
      </c>
      <c r="AS2" s="61" t="s">
        <v>413</v>
      </c>
      <c r="AT2" s="61" t="s">
        <v>414</v>
      </c>
      <c r="AU2" s="61" t="s">
        <v>415</v>
      </c>
      <c r="AV2" s="61" t="s">
        <v>416</v>
      </c>
      <c r="AW2" s="61" t="s">
        <v>417</v>
      </c>
      <c r="AX2" s="61" t="s">
        <v>418</v>
      </c>
      <c r="AY2" s="61" t="s">
        <v>419</v>
      </c>
      <c r="AZ2" s="61" t="s">
        <v>420</v>
      </c>
      <c r="BA2" s="61" t="s">
        <v>573</v>
      </c>
      <c r="BB2" s="61" t="s">
        <v>574</v>
      </c>
      <c r="BC2" s="61"/>
      <c r="BD2" s="62" t="s">
        <v>421</v>
      </c>
      <c r="BE2" s="62" t="s">
        <v>422</v>
      </c>
      <c r="BF2" s="22" t="s">
        <v>423</v>
      </c>
      <c r="BG2" s="63"/>
      <c r="BH2" s="63" t="s">
        <v>110</v>
      </c>
      <c r="BI2" s="63" t="s">
        <v>64</v>
      </c>
      <c r="BJ2" s="61" t="s">
        <v>65</v>
      </c>
      <c r="BK2" s="63" t="s">
        <v>66</v>
      </c>
      <c r="BL2" s="61" t="s">
        <v>67</v>
      </c>
      <c r="BM2" s="63" t="s">
        <v>68</v>
      </c>
      <c r="BN2" s="63" t="s">
        <v>69</v>
      </c>
      <c r="BO2" s="64" t="s">
        <v>72</v>
      </c>
      <c r="BP2" s="63" t="s">
        <v>73</v>
      </c>
      <c r="BQ2" s="63"/>
      <c r="BR2" s="63" t="s">
        <v>111</v>
      </c>
      <c r="BS2" s="63" t="s">
        <v>64</v>
      </c>
      <c r="BT2" s="61" t="s">
        <v>65</v>
      </c>
      <c r="BU2" s="63" t="s">
        <v>66</v>
      </c>
      <c r="BV2" s="61" t="s">
        <v>67</v>
      </c>
      <c r="BW2" s="63" t="s">
        <v>68</v>
      </c>
      <c r="BX2" s="63" t="s">
        <v>69</v>
      </c>
      <c r="BY2" s="64" t="s">
        <v>72</v>
      </c>
      <c r="BZ2" s="63" t="s">
        <v>73</v>
      </c>
      <c r="CA2" s="63"/>
      <c r="CB2" s="63" t="s">
        <v>112</v>
      </c>
      <c r="CC2" s="63" t="s">
        <v>64</v>
      </c>
      <c r="CD2" s="61" t="s">
        <v>65</v>
      </c>
      <c r="CE2" s="63" t="s">
        <v>66</v>
      </c>
      <c r="CF2" s="61" t="s">
        <v>67</v>
      </c>
      <c r="CG2" s="63" t="s">
        <v>68</v>
      </c>
      <c r="CH2" s="63" t="s">
        <v>69</v>
      </c>
      <c r="CI2" s="64" t="s">
        <v>72</v>
      </c>
      <c r="CJ2" s="63" t="s">
        <v>73</v>
      </c>
      <c r="CK2" s="63"/>
      <c r="CL2" s="63" t="s">
        <v>113</v>
      </c>
      <c r="CM2" s="63" t="s">
        <v>64</v>
      </c>
      <c r="CN2" s="61" t="s">
        <v>65</v>
      </c>
      <c r="CO2" s="63" t="s">
        <v>66</v>
      </c>
      <c r="CP2" s="61" t="s">
        <v>67</v>
      </c>
      <c r="CQ2" s="63" t="s">
        <v>68</v>
      </c>
      <c r="CR2" s="63" t="s">
        <v>69</v>
      </c>
      <c r="CS2" s="64" t="s">
        <v>72</v>
      </c>
      <c r="CT2" s="63" t="s">
        <v>73</v>
      </c>
      <c r="CU2" s="63"/>
      <c r="CV2" s="63" t="s">
        <v>118</v>
      </c>
      <c r="CW2" s="63" t="s">
        <v>64</v>
      </c>
      <c r="CX2" s="61" t="s">
        <v>65</v>
      </c>
      <c r="CY2" s="63" t="s">
        <v>66</v>
      </c>
      <c r="CZ2" s="61" t="s">
        <v>67</v>
      </c>
      <c r="DA2" s="63" t="s">
        <v>68</v>
      </c>
      <c r="DB2" s="63" t="s">
        <v>69</v>
      </c>
      <c r="DC2" s="64" t="s">
        <v>72</v>
      </c>
      <c r="DD2" s="63" t="s">
        <v>73</v>
      </c>
      <c r="DE2" s="63"/>
      <c r="DF2" s="63" t="s">
        <v>119</v>
      </c>
      <c r="DG2" s="63" t="s">
        <v>64</v>
      </c>
      <c r="DH2" s="61" t="s">
        <v>65</v>
      </c>
      <c r="DI2" s="63" t="s">
        <v>66</v>
      </c>
      <c r="DJ2" s="61" t="s">
        <v>67</v>
      </c>
      <c r="DK2" s="63" t="s">
        <v>68</v>
      </c>
      <c r="DL2" s="63" t="s">
        <v>69</v>
      </c>
      <c r="DM2" s="64" t="s">
        <v>72</v>
      </c>
      <c r="DN2" s="63" t="s">
        <v>73</v>
      </c>
      <c r="DO2" s="63"/>
      <c r="DP2" s="63" t="s">
        <v>120</v>
      </c>
      <c r="DQ2" s="63" t="s">
        <v>64</v>
      </c>
      <c r="DR2" s="61" t="s">
        <v>65</v>
      </c>
      <c r="DS2" s="63" t="s">
        <v>66</v>
      </c>
      <c r="DT2" s="61" t="s">
        <v>67</v>
      </c>
      <c r="DU2" s="63" t="s">
        <v>68</v>
      </c>
      <c r="DV2" s="63" t="s">
        <v>69</v>
      </c>
      <c r="DW2" s="64" t="s">
        <v>72</v>
      </c>
      <c r="DX2" s="63" t="s">
        <v>73</v>
      </c>
      <c r="DY2" s="63"/>
      <c r="DZ2" s="63" t="s">
        <v>125</v>
      </c>
      <c r="EA2" s="63" t="s">
        <v>64</v>
      </c>
      <c r="EB2" s="61" t="s">
        <v>65</v>
      </c>
      <c r="EC2" s="63" t="s">
        <v>66</v>
      </c>
      <c r="ED2" s="61" t="s">
        <v>67</v>
      </c>
      <c r="EE2" s="63" t="s">
        <v>68</v>
      </c>
      <c r="EF2" s="63" t="s">
        <v>69</v>
      </c>
      <c r="EG2" s="64" t="s">
        <v>72</v>
      </c>
      <c r="EH2" s="63" t="s">
        <v>73</v>
      </c>
      <c r="EI2" s="63"/>
      <c r="EJ2" s="63" t="s">
        <v>563</v>
      </c>
      <c r="EK2" s="63" t="s">
        <v>64</v>
      </c>
      <c r="EL2" s="61" t="s">
        <v>65</v>
      </c>
      <c r="EM2" s="63" t="s">
        <v>66</v>
      </c>
      <c r="EN2" s="61" t="s">
        <v>67</v>
      </c>
      <c r="EO2" s="63" t="s">
        <v>68</v>
      </c>
      <c r="EP2" s="63" t="s">
        <v>69</v>
      </c>
      <c r="EQ2" s="64" t="s">
        <v>72</v>
      </c>
      <c r="ER2" s="63" t="s">
        <v>73</v>
      </c>
      <c r="ES2" s="63"/>
      <c r="ET2" s="63" t="s">
        <v>114</v>
      </c>
      <c r="EU2" s="63" t="s">
        <v>115</v>
      </c>
      <c r="EV2" s="63" t="s">
        <v>116</v>
      </c>
      <c r="EW2" s="63" t="s">
        <v>117</v>
      </c>
      <c r="EX2" s="63" t="s">
        <v>121</v>
      </c>
      <c r="EY2" s="63" t="s">
        <v>122</v>
      </c>
      <c r="EZ2" s="63" t="s">
        <v>123</v>
      </c>
      <c r="FA2" s="63" t="s">
        <v>126</v>
      </c>
      <c r="FB2" s="63" t="s">
        <v>564</v>
      </c>
      <c r="FC2" s="63" t="s">
        <v>124</v>
      </c>
    </row>
    <row r="3" spans="1:159" s="7" customFormat="1" ht="17.25">
      <c r="A3" s="65">
        <v>0</v>
      </c>
      <c r="B3" s="66" t="s">
        <v>43</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7"/>
      <c r="AE3" s="66"/>
      <c r="AF3" s="66"/>
      <c r="AG3" s="66"/>
      <c r="AH3" s="68"/>
      <c r="AI3" s="68"/>
      <c r="AJ3" s="68"/>
      <c r="AK3" s="68"/>
      <c r="AL3" s="68"/>
      <c r="AM3" s="68"/>
      <c r="AN3" s="68"/>
      <c r="AO3" s="68"/>
      <c r="AP3" s="68"/>
      <c r="AQ3" s="68"/>
      <c r="AR3" s="68"/>
      <c r="AS3" s="68"/>
      <c r="AT3" s="68"/>
      <c r="AU3" s="68"/>
      <c r="AV3" s="68"/>
      <c r="AW3" s="68"/>
      <c r="AX3" s="68"/>
      <c r="AY3" s="68"/>
      <c r="AZ3" s="68"/>
      <c r="BA3" s="68"/>
      <c r="BB3" s="68"/>
      <c r="BC3" s="68"/>
      <c r="BD3" s="68"/>
      <c r="BE3" s="68"/>
      <c r="BF3" s="69"/>
      <c r="BG3" s="69"/>
      <c r="BH3" s="69"/>
      <c r="BI3" s="69"/>
      <c r="BJ3" s="69"/>
      <c r="BK3" s="69"/>
      <c r="BL3" s="69"/>
      <c r="BM3" s="69"/>
      <c r="BN3" s="69"/>
      <c r="BO3" s="70"/>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v>511</v>
      </c>
      <c r="EU3" s="69">
        <v>111</v>
      </c>
      <c r="EV3" s="69">
        <v>122</v>
      </c>
      <c r="EW3" s="69">
        <v>388</v>
      </c>
      <c r="EX3" s="69">
        <v>384</v>
      </c>
      <c r="EY3" s="69">
        <v>234</v>
      </c>
      <c r="EZ3" s="69">
        <v>477</v>
      </c>
      <c r="FA3" s="69">
        <v>9999</v>
      </c>
      <c r="FB3" s="69">
        <v>548</v>
      </c>
      <c r="FC3" s="69"/>
    </row>
    <row r="4" spans="1:159" s="17" customFormat="1" ht="17.25">
      <c r="A4" s="71">
        <v>1</v>
      </c>
      <c r="B4" s="72" t="s">
        <v>523</v>
      </c>
      <c r="C4" s="75">
        <v>2</v>
      </c>
      <c r="D4" s="72">
        <v>4</v>
      </c>
      <c r="E4" s="75">
        <v>725</v>
      </c>
      <c r="F4" s="75">
        <v>4000</v>
      </c>
      <c r="G4" s="72">
        <f aca="true" t="shared" si="0" ref="G4:G32">E4</f>
        <v>725</v>
      </c>
      <c r="H4" s="72">
        <v>256</v>
      </c>
      <c r="I4" s="72">
        <v>80</v>
      </c>
      <c r="J4" s="72">
        <v>80</v>
      </c>
      <c r="K4" s="72">
        <v>32</v>
      </c>
      <c r="L4" s="76">
        <v>5</v>
      </c>
      <c r="M4" s="72">
        <v>1600</v>
      </c>
      <c r="N4" s="76">
        <v>5</v>
      </c>
      <c r="O4" s="72" t="s">
        <v>21</v>
      </c>
      <c r="P4" s="77">
        <f>BC4*BE4</f>
        <v>999.0636064580211</v>
      </c>
      <c r="Q4" s="78">
        <f aca="true" t="shared" si="1" ref="Q4:Q32">MIN(FC4,9900)*INT(C4)</f>
        <v>8288.778520363163</v>
      </c>
      <c r="R4" s="78"/>
      <c r="S4" s="79">
        <v>1024</v>
      </c>
      <c r="T4" s="80">
        <v>45</v>
      </c>
      <c r="U4" s="80">
        <v>295</v>
      </c>
      <c r="V4" s="72" t="s">
        <v>37</v>
      </c>
      <c r="W4" s="72" t="s">
        <v>29</v>
      </c>
      <c r="X4" s="16" t="s">
        <v>39</v>
      </c>
      <c r="Y4" s="72" t="s">
        <v>40</v>
      </c>
      <c r="Z4" s="81">
        <v>12.16</v>
      </c>
      <c r="AA4" s="124" t="s">
        <v>559</v>
      </c>
      <c r="AB4" s="72">
        <v>11</v>
      </c>
      <c r="AC4" s="82">
        <v>5</v>
      </c>
      <c r="AD4" s="83">
        <v>338</v>
      </c>
      <c r="AE4" s="84">
        <f>2150*C4</f>
        <v>4300</v>
      </c>
      <c r="AF4" s="85">
        <v>40</v>
      </c>
      <c r="AG4" s="72"/>
      <c r="AH4" s="73"/>
      <c r="AI4" s="73">
        <f aca="true" t="shared" si="2" ref="AI4:AI9">I4*E4/500/2</f>
        <v>58</v>
      </c>
      <c r="AJ4" s="73">
        <f aca="true" t="shared" si="3" ref="AJ4:AJ9">J4*E4/500/2</f>
        <v>58</v>
      </c>
      <c r="AK4" s="73">
        <f aca="true" t="shared" si="4" ref="AK4:AK9">K4*E4/1000/2</f>
        <v>11.6</v>
      </c>
      <c r="AL4" s="73">
        <f aca="true" t="shared" si="5" ref="AL4:AL9">M4*G4/6000/2</f>
        <v>96.66666666666667</v>
      </c>
      <c r="AM4" s="73">
        <f aca="true" t="shared" si="6" ref="AM4:AM9">H4*F4/(8000+500*AC4)/2</f>
        <v>48.76190476190476</v>
      </c>
      <c r="AN4" s="73">
        <f aca="true" t="shared" si="7" ref="AN4:AN9">POWER(INT(MIN(C4*2,D4*2)),0.7)+LN(INT(MIN(C4*2,D4*2)))*0.07</f>
        <v>2.736056426824181</v>
      </c>
      <c r="AO4" s="73">
        <v>2</v>
      </c>
      <c r="AP4" s="73">
        <v>1</v>
      </c>
      <c r="AQ4" s="73">
        <v>1</v>
      </c>
      <c r="AR4" s="73">
        <v>5</v>
      </c>
      <c r="AS4" s="73">
        <v>5</v>
      </c>
      <c r="AT4" s="73">
        <v>1</v>
      </c>
      <c r="AU4" s="73">
        <v>1</v>
      </c>
      <c r="AV4" s="73">
        <v>2.8</v>
      </c>
      <c r="AW4" s="73">
        <f aca="true" t="shared" si="8" ref="AW4:AW32">AI4*AJ4*(AO4+AP4)/(AI4*AO4+AJ4*AP4)</f>
        <v>58</v>
      </c>
      <c r="AX4" s="73">
        <f aca="true" t="shared" si="9" ref="AX4:AX32">(AQ4+AR4)*AW4*AK4/(AW4*AQ4+AK4*AR4)</f>
        <v>34.8</v>
      </c>
      <c r="AY4" s="73">
        <f aca="true" t="shared" si="10" ref="AY4:AY17">AX4*AL4*(AS4+AT4)/(AX4*AS4+AL4*AT4)</f>
        <v>74.57142857142857</v>
      </c>
      <c r="AZ4" s="73">
        <f aca="true" t="shared" si="11" ref="AZ4:AZ32">AY4*AM4*(AU4+AV4)/(AY4*AU4+AV4*AM4)*AN4</f>
        <v>179.08686807744192</v>
      </c>
      <c r="BA4" s="73">
        <f>AZ4*0.1</f>
        <v>17.908686807744193</v>
      </c>
      <c r="BB4" s="73">
        <v>0.02</v>
      </c>
      <c r="BC4" s="73">
        <f>AZ4*(1-BB4)+BA4*BB4</f>
        <v>175.86330445204797</v>
      </c>
      <c r="BD4" s="73">
        <v>4.840412061378459</v>
      </c>
      <c r="BE4" s="87">
        <v>5.680910008889502</v>
      </c>
      <c r="BF4" s="74"/>
      <c r="BG4" s="73"/>
      <c r="BH4" s="73">
        <v>511</v>
      </c>
      <c r="BI4" s="73">
        <f aca="true" t="shared" si="12" ref="BI4:BI32">E4*K4/1500</f>
        <v>15.466666666666667</v>
      </c>
      <c r="BJ4" s="73">
        <f aca="true" t="shared" si="13" ref="BJ4:BJ32">G4*M4/40000</f>
        <v>29</v>
      </c>
      <c r="BK4" s="73">
        <f aca="true" t="shared" si="14" ref="BK4:BK32">AM4</f>
        <v>48.76190476190476</v>
      </c>
      <c r="BL4" s="73">
        <v>8</v>
      </c>
      <c r="BM4" s="73">
        <v>6</v>
      </c>
      <c r="BN4" s="73">
        <v>1</v>
      </c>
      <c r="BO4" s="73">
        <f aca="true" t="shared" si="15" ref="BO4:BO32">20/(BL4/BI4+BM4/BJ4+BN4/BK4)</f>
        <v>26.858409080631304</v>
      </c>
      <c r="BP4" s="73">
        <f aca="true" t="shared" si="16" ref="BP4:BP14">POWER(BO4,0.85)*240</f>
        <v>3934.8617968872845</v>
      </c>
      <c r="BQ4" s="73"/>
      <c r="BR4" s="73">
        <v>111</v>
      </c>
      <c r="BS4" s="73">
        <f aca="true" t="shared" si="17" ref="BS4:BS32">E4*K4/1600</f>
        <v>14.5</v>
      </c>
      <c r="BT4" s="73">
        <f aca="true" t="shared" si="18" ref="BT4:BT32">G4*M4/40000</f>
        <v>29</v>
      </c>
      <c r="BU4" s="73">
        <f aca="true" t="shared" si="19" ref="BU4:BU32">AM4</f>
        <v>48.76190476190476</v>
      </c>
      <c r="BV4" s="73">
        <v>8</v>
      </c>
      <c r="BW4" s="73">
        <v>6</v>
      </c>
      <c r="BX4" s="73">
        <v>1</v>
      </c>
      <c r="BY4" s="73">
        <f aca="true" t="shared" si="20" ref="BY4:BY32">20/(BV4/BS4+BW4/BT4+BX4/BU4)</f>
        <v>25.66970653066517</v>
      </c>
      <c r="BZ4" s="73">
        <f aca="true" t="shared" si="21" ref="BZ4:BZ32">POWER(BY4,0.93)*310</f>
        <v>6340.494559005085</v>
      </c>
      <c r="CA4" s="73"/>
      <c r="CB4" s="73">
        <v>122</v>
      </c>
      <c r="CC4" s="73">
        <f aca="true" t="shared" si="22" ref="CC4:CC32">E4*K4/600</f>
        <v>38.666666666666664</v>
      </c>
      <c r="CD4" s="73">
        <f aca="true" t="shared" si="23" ref="CD4:CD32">G4*M4/90000</f>
        <v>12.88888888888889</v>
      </c>
      <c r="CE4" s="73">
        <f aca="true" t="shared" si="24" ref="CE4:CE28">AM4</f>
        <v>48.76190476190476</v>
      </c>
      <c r="CF4" s="73">
        <v>8</v>
      </c>
      <c r="CG4" s="73">
        <v>6</v>
      </c>
      <c r="CH4" s="73">
        <v>1</v>
      </c>
      <c r="CI4" s="73">
        <f aca="true" t="shared" si="25" ref="CI4:CI32">20/(CF4/CC4+CG4/CD4+CH4/CE4)</f>
        <v>28.86329396899451</v>
      </c>
      <c r="CJ4" s="73">
        <f aca="true" t="shared" si="26" ref="CJ4:CJ32">POWER(CI4,0.93)*310</f>
        <v>7071.041302109968</v>
      </c>
      <c r="CK4" s="73"/>
      <c r="CL4" s="73">
        <v>388</v>
      </c>
      <c r="CM4" s="73">
        <f aca="true" t="shared" si="27" ref="CM4:CM32">E4*K4/800</f>
        <v>29</v>
      </c>
      <c r="CN4" s="73">
        <f aca="true" t="shared" si="28" ref="CN4:CN32">G4*M4/80000</f>
        <v>14.5</v>
      </c>
      <c r="CO4" s="73">
        <f aca="true" t="shared" si="29" ref="CO4:CO32">AM4</f>
        <v>48.76190476190476</v>
      </c>
      <c r="CP4" s="73">
        <v>8</v>
      </c>
      <c r="CQ4" s="73">
        <v>6</v>
      </c>
      <c r="CR4" s="73">
        <v>1</v>
      </c>
      <c r="CS4" s="73">
        <f aca="true" t="shared" si="30" ref="CS4:CS32">20/(CP4/CM4+CQ4/CN4+CR4/CO4)</f>
        <v>28.162549196263452</v>
      </c>
      <c r="CT4" s="73">
        <f aca="true" t="shared" si="31" ref="CT4:CT32">POWER(CS4,0.93)*280</f>
        <v>6242.419596865003</v>
      </c>
      <c r="CU4" s="73"/>
      <c r="CV4" s="73">
        <v>384</v>
      </c>
      <c r="CW4" s="73">
        <f aca="true" t="shared" si="32" ref="CW4:CW32">E4*K4/800</f>
        <v>29</v>
      </c>
      <c r="CX4" s="73">
        <f aca="true" t="shared" si="33" ref="CX4:CX32">G4*M4/65000</f>
        <v>17.846153846153847</v>
      </c>
      <c r="CY4" s="73">
        <f aca="true" t="shared" si="34" ref="CY4:CY32">AM4</f>
        <v>48.76190476190476</v>
      </c>
      <c r="CZ4" s="73">
        <v>8</v>
      </c>
      <c r="DA4" s="73">
        <v>6</v>
      </c>
      <c r="DB4" s="73">
        <v>1</v>
      </c>
      <c r="DC4" s="73">
        <f aca="true" t="shared" si="35" ref="DC4:DC32">20/(CZ4/CW4+DA4/CX4+DB4/CY4)</f>
        <v>31.61671546446633</v>
      </c>
      <c r="DD4" s="92">
        <f aca="true" t="shared" si="36" ref="DD4:DD14">POWER(DC4,0.82)*267</f>
        <v>4533.597884953488</v>
      </c>
      <c r="DE4" s="73"/>
      <c r="DF4" s="73">
        <v>234</v>
      </c>
      <c r="DG4" s="73">
        <f aca="true" t="shared" si="37" ref="DG4:DG32">E4*K4/700</f>
        <v>33.142857142857146</v>
      </c>
      <c r="DH4" s="73">
        <f aca="true" t="shared" si="38" ref="DH4:DH32">G4*M4/60000</f>
        <v>19.333333333333332</v>
      </c>
      <c r="DI4" s="73">
        <f aca="true" t="shared" si="39" ref="DI4:DI32">AM4</f>
        <v>48.76190476190476</v>
      </c>
      <c r="DJ4" s="73">
        <v>8</v>
      </c>
      <c r="DK4" s="73">
        <v>6</v>
      </c>
      <c r="DL4" s="73">
        <v>1</v>
      </c>
      <c r="DM4" s="73">
        <f aca="true" t="shared" si="40" ref="DM4:DM32">20/(DJ4/DG4+DK4/DH4+DL4/DI4)</f>
        <v>34.950862119696346</v>
      </c>
      <c r="DN4" s="73">
        <f aca="true" t="shared" si="41" ref="DN4:DN32">POWER(DM4,0.93)*255</f>
        <v>6949.539388119532</v>
      </c>
      <c r="DO4" s="73"/>
      <c r="DP4" s="73">
        <v>477</v>
      </c>
      <c r="DQ4" s="73">
        <f aca="true" t="shared" si="42" ref="DQ4:DQ32">E4*K4/600</f>
        <v>38.666666666666664</v>
      </c>
      <c r="DR4" s="73">
        <f aca="true" t="shared" si="43" ref="DR4:DR32">G4*M4/60000</f>
        <v>19.333333333333332</v>
      </c>
      <c r="DS4" s="73">
        <f aca="true" t="shared" si="44" ref="DS4:DS32">AM4</f>
        <v>48.76190476190476</v>
      </c>
      <c r="DT4" s="73">
        <v>8</v>
      </c>
      <c r="DU4" s="73">
        <v>6</v>
      </c>
      <c r="DV4" s="73">
        <v>1</v>
      </c>
      <c r="DW4" s="73">
        <f aca="true" t="shared" si="45" ref="DW4:DW32">20/(DT4/DQ4+DU4/DR4+DV4/DS4)</f>
        <v>37.19205961550504</v>
      </c>
      <c r="DX4" s="73">
        <f aca="true" t="shared" si="46" ref="DX4:DX32">POWER(DW4,0.93)*260</f>
        <v>7507.443306172861</v>
      </c>
      <c r="DY4" s="73"/>
      <c r="DZ4" s="92">
        <v>9999</v>
      </c>
      <c r="EA4" s="73">
        <f aca="true" t="shared" si="47" ref="EA4:EA32">E4*K4/600</f>
        <v>38.666666666666664</v>
      </c>
      <c r="EB4" s="73">
        <f aca="true" t="shared" si="48" ref="EB4:EB32">G4*M4/60000</f>
        <v>19.333333333333332</v>
      </c>
      <c r="EC4" s="73">
        <f aca="true" t="shared" si="49" ref="EC4:EC32">AM4</f>
        <v>48.76190476190476</v>
      </c>
      <c r="ED4" s="73">
        <v>8</v>
      </c>
      <c r="EE4" s="73">
        <v>6</v>
      </c>
      <c r="EF4" s="73">
        <v>1</v>
      </c>
      <c r="EG4" s="73">
        <f aca="true" t="shared" si="50" ref="EG4:EG32">20/(ED4/EA4+EE4/EB4+EF4/EC4)</f>
        <v>37.19205961550504</v>
      </c>
      <c r="EH4" s="73">
        <f aca="true" t="shared" si="51" ref="EH4:EH32">POWER(EG4,0.93)*260</f>
        <v>7507.443306172861</v>
      </c>
      <c r="EI4" s="73"/>
      <c r="EJ4" s="73">
        <v>548</v>
      </c>
      <c r="EK4" s="73">
        <f aca="true" t="shared" si="52" ref="EK4:EK32">E4*K4/400</f>
        <v>58</v>
      </c>
      <c r="EL4" s="73">
        <f aca="true" t="shared" si="53" ref="EL4:EL32">G4*M4/55000</f>
        <v>21.09090909090909</v>
      </c>
      <c r="EM4" s="73">
        <f aca="true" t="shared" si="54" ref="EM4:EM32">AM4</f>
        <v>48.76190476190476</v>
      </c>
      <c r="EN4" s="73">
        <v>8</v>
      </c>
      <c r="EO4" s="73">
        <v>6</v>
      </c>
      <c r="EP4" s="73">
        <v>1</v>
      </c>
      <c r="EQ4" s="73">
        <f aca="true" t="shared" si="55" ref="EQ4:EQ32">20/(EN4/EK4+EO4/EL4+EP4/EM4)</f>
        <v>45.154717554930436</v>
      </c>
      <c r="ER4" s="73">
        <f aca="true" t="shared" si="56" ref="ER4:ER32">POWER(EQ4,0.93)*260</f>
        <v>8991.81284521319</v>
      </c>
      <c r="ES4" s="73"/>
      <c r="ET4" s="73">
        <v>50</v>
      </c>
      <c r="EU4" s="73">
        <v>0</v>
      </c>
      <c r="EV4" s="73">
        <v>0</v>
      </c>
      <c r="EW4" s="73">
        <v>0</v>
      </c>
      <c r="EX4" s="73">
        <v>50</v>
      </c>
      <c r="EY4" s="73">
        <v>0</v>
      </c>
      <c r="EZ4" s="73">
        <v>0</v>
      </c>
      <c r="FA4" s="73">
        <v>0</v>
      </c>
      <c r="FB4" s="73">
        <v>0</v>
      </c>
      <c r="FC4" s="92">
        <f aca="true" t="shared" si="57" ref="FC4:FC32">(BH4*ET4/100+BR4*EU4/100+CB4*EV4/100+CL4*EW4/100+CV4*EX4/100+DF4*EY4/100+DP4*EZ4/100+DZ4*FA4/100+EJ4*FB4/100)/(BH4/BP4*ET4/100+BR4/BZ4*EU4/100+CB4/CJ4*EV4/100+CL4/CT4*EW4/100+CV4/DD4*EX4/100+DF4/DN4*EY4/100+DP4/DX4*EZ4/100+DZ4/EH4*FA4/100+EJ4/ER4*FB4/100+0.000694444444444)</f>
        <v>4144.389260181581</v>
      </c>
    </row>
    <row r="5" spans="1:159" s="181" customFormat="1" ht="17.25" hidden="1">
      <c r="A5" s="182">
        <v>1.5</v>
      </c>
      <c r="B5" s="178" t="s">
        <v>622</v>
      </c>
      <c r="C5" s="178">
        <v>1</v>
      </c>
      <c r="D5" s="178">
        <v>4</v>
      </c>
      <c r="E5" s="178">
        <v>850</v>
      </c>
      <c r="F5" s="178">
        <v>4800</v>
      </c>
      <c r="G5" s="178">
        <f>E5</f>
        <v>850</v>
      </c>
      <c r="H5" s="178">
        <v>256</v>
      </c>
      <c r="I5" s="178">
        <v>96</v>
      </c>
      <c r="J5" s="178">
        <v>96</v>
      </c>
      <c r="K5" s="178">
        <v>32</v>
      </c>
      <c r="L5" s="183">
        <v>5</v>
      </c>
      <c r="M5" s="178">
        <v>1920</v>
      </c>
      <c r="N5" s="183">
        <v>5</v>
      </c>
      <c r="O5" s="178" t="s">
        <v>21</v>
      </c>
      <c r="P5" s="184">
        <f>BC5*BE5</f>
        <v>799.3300169936263</v>
      </c>
      <c r="Q5" s="184">
        <f>MIN(FC5,9900)*INT(C5)</f>
        <v>4996.078929798246</v>
      </c>
      <c r="R5" s="184"/>
      <c r="S5" s="185">
        <v>1024</v>
      </c>
      <c r="T5" s="186" t="s">
        <v>531</v>
      </c>
      <c r="U5" s="186" t="s">
        <v>531</v>
      </c>
      <c r="V5" s="178" t="s">
        <v>37</v>
      </c>
      <c r="W5" s="178" t="s">
        <v>531</v>
      </c>
      <c r="X5" s="187" t="s">
        <v>531</v>
      </c>
      <c r="Y5" s="178" t="s">
        <v>40</v>
      </c>
      <c r="Z5" s="188" t="s">
        <v>531</v>
      </c>
      <c r="AA5" s="189" t="s">
        <v>623</v>
      </c>
      <c r="AB5" s="178">
        <v>11</v>
      </c>
      <c r="AC5" s="190">
        <v>5</v>
      </c>
      <c r="AD5" s="191" t="s">
        <v>531</v>
      </c>
      <c r="AE5" s="192" t="s">
        <v>531</v>
      </c>
      <c r="AF5" s="193" t="s">
        <v>531</v>
      </c>
      <c r="AG5" s="178"/>
      <c r="AH5" s="179"/>
      <c r="AI5" s="179">
        <f t="shared" si="2"/>
        <v>81.6</v>
      </c>
      <c r="AJ5" s="179">
        <f t="shared" si="3"/>
        <v>81.6</v>
      </c>
      <c r="AK5" s="179">
        <f t="shared" si="4"/>
        <v>13.6</v>
      </c>
      <c r="AL5" s="179">
        <f t="shared" si="5"/>
        <v>136</v>
      </c>
      <c r="AM5" s="179">
        <f t="shared" si="6"/>
        <v>58.51428571428571</v>
      </c>
      <c r="AN5" s="179">
        <f>POWER(INT(MIN(C5*2,D5*2)),0.7)+LN(INT(MIN(C5*2,D5*2)))*0.07</f>
        <v>1.6730250953516672</v>
      </c>
      <c r="AO5" s="179">
        <v>2</v>
      </c>
      <c r="AP5" s="179">
        <v>1</v>
      </c>
      <c r="AQ5" s="179">
        <v>1</v>
      </c>
      <c r="AR5" s="179">
        <v>5</v>
      </c>
      <c r="AS5" s="179">
        <v>5</v>
      </c>
      <c r="AT5" s="179">
        <v>1</v>
      </c>
      <c r="AU5" s="179">
        <v>1</v>
      </c>
      <c r="AV5" s="179">
        <v>2.8</v>
      </c>
      <c r="AW5" s="179">
        <f>AI5*AJ5*(AO5+AP5)/(AI5*AO5+AJ5*AP5)</f>
        <v>81.60000000000001</v>
      </c>
      <c r="AX5" s="179">
        <f>(AQ5+AR5)*AW5*AK5/(AW5*AQ5+AK5*AR5)</f>
        <v>44.50909090909091</v>
      </c>
      <c r="AY5" s="179">
        <f>AX5*AL5*(AS5+AT5)/(AX5*AS5+AL5*AT5)</f>
        <v>101.29655172413794</v>
      </c>
      <c r="AZ5" s="179">
        <f>AY5*AM5*(AU5+AV5)/(AY5*AU5+AV5*AM5)*AN5</f>
        <v>142.12583130271233</v>
      </c>
      <c r="BA5" s="179">
        <f>AZ5*0.5</f>
        <v>71.06291565135616</v>
      </c>
      <c r="BB5" s="179">
        <v>0.02</v>
      </c>
      <c r="BC5" s="179">
        <f>AZ5*(1-BB5)+BA5*BB5</f>
        <v>140.7045729896852</v>
      </c>
      <c r="BD5" s="179">
        <v>4.840412061378459</v>
      </c>
      <c r="BE5" s="179">
        <v>5.680910008889502</v>
      </c>
      <c r="BF5" s="180"/>
      <c r="BG5" s="179"/>
      <c r="BH5" s="179">
        <v>511</v>
      </c>
      <c r="BI5" s="179">
        <f>E5*K5/1500</f>
        <v>18.133333333333333</v>
      </c>
      <c r="BJ5" s="179">
        <f>G5*M5/40000</f>
        <v>40.8</v>
      </c>
      <c r="BK5" s="179">
        <f>AM5</f>
        <v>58.51428571428571</v>
      </c>
      <c r="BL5" s="179">
        <v>8</v>
      </c>
      <c r="BM5" s="179">
        <v>6</v>
      </c>
      <c r="BN5" s="179">
        <v>1</v>
      </c>
      <c r="BO5" s="179">
        <f>20/(BL5/BI5+BM5/BJ5+BN5/BK5)</f>
        <v>33.04009489916963</v>
      </c>
      <c r="BP5" s="179">
        <f t="shared" si="16"/>
        <v>4692.414140451596</v>
      </c>
      <c r="BQ5" s="179"/>
      <c r="BR5" s="179">
        <v>111</v>
      </c>
      <c r="BS5" s="179">
        <f>E5*K5/1600</f>
        <v>17</v>
      </c>
      <c r="BT5" s="179">
        <f>G5*M5/40000</f>
        <v>40.8</v>
      </c>
      <c r="BU5" s="179">
        <f>AM5</f>
        <v>58.51428571428571</v>
      </c>
      <c r="BV5" s="179">
        <v>8</v>
      </c>
      <c r="BW5" s="179">
        <v>6</v>
      </c>
      <c r="BX5" s="179">
        <v>1</v>
      </c>
      <c r="BY5" s="179">
        <f>20/(BV5/BS5+BW5/BT5+BX5/BU5)</f>
        <v>31.509118059640706</v>
      </c>
      <c r="BZ5" s="179">
        <f t="shared" si="21"/>
        <v>7671.97897446229</v>
      </c>
      <c r="CA5" s="179"/>
      <c r="CB5" s="179">
        <v>122</v>
      </c>
      <c r="CC5" s="179">
        <f>E5*K5/600</f>
        <v>45.333333333333336</v>
      </c>
      <c r="CD5" s="179">
        <f>G5*M5/90000</f>
        <v>18.133333333333333</v>
      </c>
      <c r="CE5" s="179">
        <f>AM5</f>
        <v>58.51428571428571</v>
      </c>
      <c r="CF5" s="179">
        <v>8</v>
      </c>
      <c r="CG5" s="179">
        <v>6</v>
      </c>
      <c r="CH5" s="179">
        <v>1</v>
      </c>
      <c r="CI5" s="179">
        <f>20/(CF5/CC5+CG5/CD5+CH5/CE5)</f>
        <v>38.13571389451777</v>
      </c>
      <c r="CJ5" s="179">
        <f t="shared" si="26"/>
        <v>9162.212135474037</v>
      </c>
      <c r="CK5" s="179"/>
      <c r="CL5" s="179">
        <v>388</v>
      </c>
      <c r="CM5" s="179">
        <f>E5*K5/800</f>
        <v>34</v>
      </c>
      <c r="CN5" s="179">
        <f>G5*M5/80000</f>
        <v>20.4</v>
      </c>
      <c r="CO5" s="179">
        <f>AM5</f>
        <v>58.51428571428571</v>
      </c>
      <c r="CP5" s="179">
        <v>8</v>
      </c>
      <c r="CQ5" s="179">
        <v>6</v>
      </c>
      <c r="CR5" s="179">
        <v>1</v>
      </c>
      <c r="CS5" s="179">
        <f>20/(CP5/CM5+CQ5/CN5+CR5/CO5)</f>
        <v>36.59641561990855</v>
      </c>
      <c r="CT5" s="179">
        <f t="shared" si="31"/>
        <v>7964.451719687556</v>
      </c>
      <c r="CU5" s="179"/>
      <c r="CV5" s="179">
        <v>384</v>
      </c>
      <c r="CW5" s="179">
        <f>E5*K5/800</f>
        <v>34</v>
      </c>
      <c r="CX5" s="179">
        <f>G5*M5/65000</f>
        <v>25.107692307692307</v>
      </c>
      <c r="CY5" s="179">
        <f>AM5</f>
        <v>58.51428571428571</v>
      </c>
      <c r="CZ5" s="179">
        <v>8</v>
      </c>
      <c r="DA5" s="179">
        <v>6</v>
      </c>
      <c r="DB5" s="179">
        <v>1</v>
      </c>
      <c r="DC5" s="179">
        <f>20/(CZ5/CW5+DA5/CX5+DB5/CY5)</f>
        <v>40.70380545975332</v>
      </c>
      <c r="DD5" s="179">
        <f t="shared" si="36"/>
        <v>5577.145474768395</v>
      </c>
      <c r="DE5" s="179"/>
      <c r="DF5" s="179">
        <v>234</v>
      </c>
      <c r="DG5" s="179">
        <f>E5*K5/700</f>
        <v>38.857142857142854</v>
      </c>
      <c r="DH5" s="179">
        <f>G5*M5/60000</f>
        <v>27.2</v>
      </c>
      <c r="DI5" s="179">
        <f>AM5</f>
        <v>58.51428571428571</v>
      </c>
      <c r="DJ5" s="179">
        <v>8</v>
      </c>
      <c r="DK5" s="179">
        <v>6</v>
      </c>
      <c r="DL5" s="179">
        <v>1</v>
      </c>
      <c r="DM5" s="179">
        <f>20/(DJ5/DG5+DK5/DH5+DL5/DI5)</f>
        <v>45.08968464676552</v>
      </c>
      <c r="DN5" s="179">
        <f t="shared" si="41"/>
        <v>8807.08067250101</v>
      </c>
      <c r="DO5" s="179"/>
      <c r="DP5" s="179">
        <v>477</v>
      </c>
      <c r="DQ5" s="179">
        <f>E5*K5/600</f>
        <v>45.333333333333336</v>
      </c>
      <c r="DR5" s="179">
        <f>G5*M5/60000</f>
        <v>27.2</v>
      </c>
      <c r="DS5" s="179">
        <f>AM5</f>
        <v>58.51428571428571</v>
      </c>
      <c r="DT5" s="179">
        <v>8</v>
      </c>
      <c r="DU5" s="179">
        <v>6</v>
      </c>
      <c r="DV5" s="179">
        <v>1</v>
      </c>
      <c r="DW5" s="179">
        <f>20/(DT5/DQ5+DU5/DR5+DV5/DS5)</f>
        <v>48.2918371593037</v>
      </c>
      <c r="DX5" s="179">
        <f t="shared" si="46"/>
        <v>9571.409879579025</v>
      </c>
      <c r="DY5" s="179"/>
      <c r="DZ5" s="179">
        <v>9999</v>
      </c>
      <c r="EA5" s="179">
        <f>E5*K5/600</f>
        <v>45.333333333333336</v>
      </c>
      <c r="EB5" s="179">
        <f>G5*M5/60000</f>
        <v>27.2</v>
      </c>
      <c r="EC5" s="179">
        <f>AM5</f>
        <v>58.51428571428571</v>
      </c>
      <c r="ED5" s="179">
        <v>8</v>
      </c>
      <c r="EE5" s="179">
        <v>6</v>
      </c>
      <c r="EF5" s="179">
        <v>1</v>
      </c>
      <c r="EG5" s="179">
        <f>20/(ED5/EA5+EE5/EB5+EF5/EC5)</f>
        <v>48.2918371593037</v>
      </c>
      <c r="EH5" s="179">
        <f t="shared" si="51"/>
        <v>9571.409879579025</v>
      </c>
      <c r="EI5" s="179"/>
      <c r="EJ5" s="179">
        <v>548</v>
      </c>
      <c r="EK5" s="179">
        <f>E5*K5/400</f>
        <v>68</v>
      </c>
      <c r="EL5" s="179">
        <f>G5*M5/55000</f>
        <v>29.672727272727272</v>
      </c>
      <c r="EM5" s="179">
        <f>AM5</f>
        <v>58.51428571428571</v>
      </c>
      <c r="EN5" s="179">
        <v>8</v>
      </c>
      <c r="EO5" s="179">
        <v>6</v>
      </c>
      <c r="EP5" s="179">
        <v>1</v>
      </c>
      <c r="EQ5" s="179">
        <f>20/(EN5/EK5+EO5/EL5+EP5/EM5)</f>
        <v>59.35725854573353</v>
      </c>
      <c r="ER5" s="179">
        <f t="shared" si="56"/>
        <v>11595.888055532367</v>
      </c>
      <c r="ES5" s="179"/>
      <c r="ET5" s="179">
        <v>50</v>
      </c>
      <c r="EU5" s="179">
        <v>0</v>
      </c>
      <c r="EV5" s="179">
        <v>0</v>
      </c>
      <c r="EW5" s="179">
        <v>0</v>
      </c>
      <c r="EX5" s="179">
        <v>50</v>
      </c>
      <c r="EY5" s="179">
        <v>0</v>
      </c>
      <c r="EZ5" s="179">
        <v>0</v>
      </c>
      <c r="FA5" s="179">
        <v>0</v>
      </c>
      <c r="FB5" s="179">
        <v>0</v>
      </c>
      <c r="FC5" s="179">
        <f>(BH5*ET5/100+BR5*EU5/100+CB5*EV5/100+CL5*EW5/100+CV5*EX5/100+DF5*EY5/100+DP5*EZ5/100+DZ5*FA5/100+EJ5*FB5/100)/(BH5/BP5*ET5/100+BR5/BZ5*EU5/100+CB5/CJ5*EV5/100+CL5/CT5*EW5/100+CV5/DD5*EX5/100+DF5/DN5*EY5/100+DP5/DX5*EZ5/100+DZ5/EH5*FA5/100+EJ5/ER5*FB5/100+0.000694444444444)</f>
        <v>4996.078929798246</v>
      </c>
    </row>
    <row r="6" spans="1:159" s="6" customFormat="1" ht="17.25">
      <c r="A6" s="71">
        <v>2</v>
      </c>
      <c r="B6" s="72" t="s">
        <v>591</v>
      </c>
      <c r="C6" s="75">
        <v>1</v>
      </c>
      <c r="D6" s="72">
        <v>4</v>
      </c>
      <c r="E6" s="75">
        <v>850</v>
      </c>
      <c r="F6" s="75">
        <v>4800</v>
      </c>
      <c r="G6" s="72">
        <f t="shared" si="0"/>
        <v>850</v>
      </c>
      <c r="H6" s="72">
        <v>256</v>
      </c>
      <c r="I6" s="72">
        <v>80</v>
      </c>
      <c r="J6" s="72">
        <v>80</v>
      </c>
      <c r="K6" s="72">
        <v>32</v>
      </c>
      <c r="L6" s="76">
        <v>5</v>
      </c>
      <c r="M6" s="72">
        <v>1600</v>
      </c>
      <c r="N6" s="76">
        <v>5</v>
      </c>
      <c r="O6" s="72" t="s">
        <v>21</v>
      </c>
      <c r="P6" s="77">
        <f aca="true" t="shared" si="58" ref="P6:P36">BC6*BE6</f>
        <v>722.0920589905942</v>
      </c>
      <c r="Q6" s="78">
        <f t="shared" si="1"/>
        <v>4733.761993516891</v>
      </c>
      <c r="R6" s="78"/>
      <c r="S6" s="79">
        <v>2048</v>
      </c>
      <c r="T6" s="80">
        <v>25</v>
      </c>
      <c r="U6" s="80">
        <v>220</v>
      </c>
      <c r="V6" s="72" t="s">
        <v>37</v>
      </c>
      <c r="W6" s="72" t="s">
        <v>29</v>
      </c>
      <c r="X6" s="14" t="s">
        <v>39</v>
      </c>
      <c r="Y6" s="72" t="s">
        <v>40</v>
      </c>
      <c r="Z6" s="81">
        <v>11</v>
      </c>
      <c r="AA6" s="124" t="s">
        <v>559</v>
      </c>
      <c r="AB6" s="72">
        <v>11</v>
      </c>
      <c r="AC6" s="82">
        <v>5</v>
      </c>
      <c r="AD6" s="83">
        <v>338</v>
      </c>
      <c r="AE6" s="84">
        <v>2150</v>
      </c>
      <c r="AF6" s="85">
        <v>40</v>
      </c>
      <c r="AG6" s="141" t="s">
        <v>588</v>
      </c>
      <c r="AH6" s="87"/>
      <c r="AI6" s="73">
        <f t="shared" si="2"/>
        <v>68</v>
      </c>
      <c r="AJ6" s="73">
        <f t="shared" si="3"/>
        <v>68</v>
      </c>
      <c r="AK6" s="73">
        <f t="shared" si="4"/>
        <v>13.6</v>
      </c>
      <c r="AL6" s="73">
        <f t="shared" si="5"/>
        <v>113.33333333333333</v>
      </c>
      <c r="AM6" s="73">
        <f t="shared" si="6"/>
        <v>58.51428571428571</v>
      </c>
      <c r="AN6" s="73">
        <f t="shared" si="7"/>
        <v>1.6730250953516672</v>
      </c>
      <c r="AO6" s="87">
        <v>2</v>
      </c>
      <c r="AP6" s="87">
        <v>1</v>
      </c>
      <c r="AQ6" s="87">
        <v>1</v>
      </c>
      <c r="AR6" s="87">
        <v>5</v>
      </c>
      <c r="AS6" s="87">
        <v>5</v>
      </c>
      <c r="AT6" s="87">
        <v>1</v>
      </c>
      <c r="AU6" s="87">
        <v>1</v>
      </c>
      <c r="AV6" s="87">
        <v>2.8</v>
      </c>
      <c r="AW6" s="87">
        <f t="shared" si="8"/>
        <v>68</v>
      </c>
      <c r="AX6" s="87">
        <f t="shared" si="9"/>
        <v>40.800000000000004</v>
      </c>
      <c r="AY6" s="87">
        <f t="shared" si="10"/>
        <v>87.42857142857142</v>
      </c>
      <c r="AZ6" s="87">
        <f t="shared" si="11"/>
        <v>129.43841059998678</v>
      </c>
      <c r="BA6" s="73">
        <f aca="true" t="shared" si="59" ref="BA6:BA14">AZ6*0.1</f>
        <v>12.943841059998679</v>
      </c>
      <c r="BB6" s="73">
        <v>0.02</v>
      </c>
      <c r="BC6" s="73">
        <f aca="true" t="shared" si="60" ref="BC6:BC36">AZ6*(1-BB6)+BA6*BB6</f>
        <v>127.10851920918702</v>
      </c>
      <c r="BD6" s="73">
        <v>4.840412061378459</v>
      </c>
      <c r="BE6" s="87">
        <v>5.680910008889502</v>
      </c>
      <c r="BF6" s="88"/>
      <c r="BG6" s="87"/>
      <c r="BH6" s="87">
        <v>511</v>
      </c>
      <c r="BI6" s="87">
        <f t="shared" si="12"/>
        <v>18.133333333333333</v>
      </c>
      <c r="BJ6" s="87">
        <f t="shared" si="13"/>
        <v>34</v>
      </c>
      <c r="BK6" s="87">
        <f t="shared" si="14"/>
        <v>58.51428571428571</v>
      </c>
      <c r="BL6" s="87">
        <v>8</v>
      </c>
      <c r="BM6" s="87">
        <v>6</v>
      </c>
      <c r="BN6" s="87">
        <v>1</v>
      </c>
      <c r="BO6" s="87">
        <f t="shared" si="15"/>
        <v>31.509118059640706</v>
      </c>
      <c r="BP6" s="73">
        <f t="shared" si="16"/>
        <v>4506.9428600942965</v>
      </c>
      <c r="BQ6" s="87"/>
      <c r="BR6" s="87">
        <v>111</v>
      </c>
      <c r="BS6" s="87">
        <f t="shared" si="17"/>
        <v>17</v>
      </c>
      <c r="BT6" s="87">
        <f t="shared" si="18"/>
        <v>34</v>
      </c>
      <c r="BU6" s="87">
        <f t="shared" si="19"/>
        <v>58.51428571428571</v>
      </c>
      <c r="BV6" s="87">
        <v>8</v>
      </c>
      <c r="BW6" s="87">
        <v>6</v>
      </c>
      <c r="BX6" s="87">
        <v>1</v>
      </c>
      <c r="BY6" s="87">
        <f t="shared" si="20"/>
        <v>30.113739566665224</v>
      </c>
      <c r="BZ6" s="87">
        <f t="shared" si="21"/>
        <v>7355.511108221737</v>
      </c>
      <c r="CA6" s="87"/>
      <c r="CB6" s="87">
        <v>122</v>
      </c>
      <c r="CC6" s="87">
        <f t="shared" si="22"/>
        <v>45.333333333333336</v>
      </c>
      <c r="CD6" s="87">
        <f t="shared" si="23"/>
        <v>15.11111111111111</v>
      </c>
      <c r="CE6" s="87">
        <f t="shared" si="24"/>
        <v>58.51428571428571</v>
      </c>
      <c r="CF6" s="87">
        <v>8</v>
      </c>
      <c r="CG6" s="87">
        <v>6</v>
      </c>
      <c r="CH6" s="87">
        <v>1</v>
      </c>
      <c r="CI6" s="87">
        <f t="shared" si="25"/>
        <v>33.86276321548412</v>
      </c>
      <c r="CJ6" s="87">
        <f t="shared" si="26"/>
        <v>8203.581935662625</v>
      </c>
      <c r="CK6" s="87"/>
      <c r="CL6" s="87">
        <v>388</v>
      </c>
      <c r="CM6" s="87">
        <f t="shared" si="27"/>
        <v>34</v>
      </c>
      <c r="CN6" s="87">
        <f t="shared" si="28"/>
        <v>17</v>
      </c>
      <c r="CO6" s="87">
        <f t="shared" si="29"/>
        <v>58.51428571428571</v>
      </c>
      <c r="CP6" s="87">
        <v>8</v>
      </c>
      <c r="CQ6" s="87">
        <v>6</v>
      </c>
      <c r="CR6" s="87">
        <v>1</v>
      </c>
      <c r="CS6" s="87">
        <f t="shared" si="30"/>
        <v>33.04009489916963</v>
      </c>
      <c r="CT6" s="87">
        <f t="shared" si="31"/>
        <v>7242.131851081781</v>
      </c>
      <c r="CU6" s="87"/>
      <c r="CV6" s="87">
        <v>384</v>
      </c>
      <c r="CW6" s="87">
        <f t="shared" si="32"/>
        <v>34</v>
      </c>
      <c r="CX6" s="87">
        <f t="shared" si="33"/>
        <v>20.923076923076923</v>
      </c>
      <c r="CY6" s="87">
        <f t="shared" si="34"/>
        <v>58.51428571428571</v>
      </c>
      <c r="CZ6" s="87">
        <v>8</v>
      </c>
      <c r="DA6" s="87">
        <v>6</v>
      </c>
      <c r="DB6" s="87">
        <v>1</v>
      </c>
      <c r="DC6" s="87">
        <f t="shared" si="35"/>
        <v>37.095519684619894</v>
      </c>
      <c r="DD6" s="92">
        <f t="shared" si="36"/>
        <v>5168.385010714639</v>
      </c>
      <c r="DE6" s="87"/>
      <c r="DF6" s="87">
        <v>234</v>
      </c>
      <c r="DG6" s="87">
        <f t="shared" si="37"/>
        <v>38.857142857142854</v>
      </c>
      <c r="DH6" s="87">
        <f t="shared" si="38"/>
        <v>22.666666666666668</v>
      </c>
      <c r="DI6" s="87">
        <f t="shared" si="39"/>
        <v>58.51428571428571</v>
      </c>
      <c r="DJ6" s="87">
        <v>8</v>
      </c>
      <c r="DK6" s="87">
        <v>6</v>
      </c>
      <c r="DL6" s="87">
        <v>1</v>
      </c>
      <c r="DM6" s="87">
        <f t="shared" si="40"/>
        <v>41.010660227339656</v>
      </c>
      <c r="DN6" s="87">
        <f t="shared" si="41"/>
        <v>8063.696401027127</v>
      </c>
      <c r="DO6" s="87"/>
      <c r="DP6" s="87">
        <v>477</v>
      </c>
      <c r="DQ6" s="87">
        <f t="shared" si="42"/>
        <v>45.333333333333336</v>
      </c>
      <c r="DR6" s="87">
        <f t="shared" si="43"/>
        <v>22.666666666666668</v>
      </c>
      <c r="DS6" s="87">
        <f t="shared" si="44"/>
        <v>58.51428571428571</v>
      </c>
      <c r="DT6" s="87">
        <v>8</v>
      </c>
      <c r="DU6" s="87">
        <v>6</v>
      </c>
      <c r="DV6" s="87">
        <v>1</v>
      </c>
      <c r="DW6" s="87">
        <f t="shared" si="45"/>
        <v>43.642745220933875</v>
      </c>
      <c r="DX6" s="87">
        <f t="shared" si="46"/>
        <v>8711.472390301937</v>
      </c>
      <c r="DY6" s="87"/>
      <c r="DZ6" s="92">
        <v>9999</v>
      </c>
      <c r="EA6" s="73">
        <f t="shared" si="47"/>
        <v>45.333333333333336</v>
      </c>
      <c r="EB6" s="73">
        <f t="shared" si="48"/>
        <v>22.666666666666668</v>
      </c>
      <c r="EC6" s="73">
        <f t="shared" si="49"/>
        <v>58.51428571428571</v>
      </c>
      <c r="ED6" s="73">
        <v>8</v>
      </c>
      <c r="EE6" s="73">
        <v>6</v>
      </c>
      <c r="EF6" s="73">
        <v>1</v>
      </c>
      <c r="EG6" s="73">
        <f t="shared" si="50"/>
        <v>43.642745220933875</v>
      </c>
      <c r="EH6" s="73">
        <f t="shared" si="51"/>
        <v>8711.472390301937</v>
      </c>
      <c r="EI6" s="87"/>
      <c r="EJ6" s="87">
        <v>548</v>
      </c>
      <c r="EK6" s="87">
        <f t="shared" si="52"/>
        <v>68</v>
      </c>
      <c r="EL6" s="87">
        <f t="shared" si="53"/>
        <v>24.727272727272727</v>
      </c>
      <c r="EM6" s="87">
        <f t="shared" si="54"/>
        <v>58.51428571428571</v>
      </c>
      <c r="EN6" s="87">
        <v>8</v>
      </c>
      <c r="EO6" s="87">
        <v>6</v>
      </c>
      <c r="EP6" s="87">
        <v>1</v>
      </c>
      <c r="EQ6" s="87">
        <f t="shared" si="55"/>
        <v>52.9964228632316</v>
      </c>
      <c r="ER6" s="87">
        <f t="shared" si="56"/>
        <v>10435.72547020577</v>
      </c>
      <c r="ES6" s="87"/>
      <c r="ET6" s="73">
        <v>50</v>
      </c>
      <c r="EU6" s="73">
        <v>0</v>
      </c>
      <c r="EV6" s="73">
        <v>0</v>
      </c>
      <c r="EW6" s="73">
        <v>0</v>
      </c>
      <c r="EX6" s="73">
        <v>50</v>
      </c>
      <c r="EY6" s="73">
        <v>0</v>
      </c>
      <c r="EZ6" s="73">
        <v>0</v>
      </c>
      <c r="FA6" s="73">
        <v>0</v>
      </c>
      <c r="FB6" s="73">
        <v>0</v>
      </c>
      <c r="FC6" s="92">
        <f t="shared" si="57"/>
        <v>4733.761993516891</v>
      </c>
    </row>
    <row r="7" spans="1:159" s="6" customFormat="1" ht="17.25">
      <c r="A7" s="71">
        <v>3</v>
      </c>
      <c r="B7" s="72" t="s">
        <v>424</v>
      </c>
      <c r="C7" s="75">
        <v>1</v>
      </c>
      <c r="D7" s="72">
        <v>4</v>
      </c>
      <c r="E7" s="75">
        <v>850</v>
      </c>
      <c r="F7" s="75">
        <v>4800</v>
      </c>
      <c r="G7" s="72">
        <f t="shared" si="0"/>
        <v>850</v>
      </c>
      <c r="H7" s="72">
        <v>256</v>
      </c>
      <c r="I7" s="72">
        <v>80</v>
      </c>
      <c r="J7" s="72">
        <v>80</v>
      </c>
      <c r="K7" s="72">
        <v>32</v>
      </c>
      <c r="L7" s="76">
        <v>5</v>
      </c>
      <c r="M7" s="72">
        <v>1600</v>
      </c>
      <c r="N7" s="76">
        <v>5</v>
      </c>
      <c r="O7" s="72" t="s">
        <v>21</v>
      </c>
      <c r="P7" s="77">
        <f t="shared" si="58"/>
        <v>722.0920589905942</v>
      </c>
      <c r="Q7" s="78">
        <f t="shared" si="1"/>
        <v>4733.761993516891</v>
      </c>
      <c r="R7" s="78"/>
      <c r="S7" s="79">
        <v>1024</v>
      </c>
      <c r="T7" s="80">
        <v>20</v>
      </c>
      <c r="U7" s="80">
        <v>210</v>
      </c>
      <c r="V7" s="72" t="s">
        <v>37</v>
      </c>
      <c r="W7" s="72" t="s">
        <v>38</v>
      </c>
      <c r="X7" s="14" t="s">
        <v>39</v>
      </c>
      <c r="Y7" s="72" t="s">
        <v>40</v>
      </c>
      <c r="Z7" s="81">
        <v>11</v>
      </c>
      <c r="AA7" s="124" t="s">
        <v>559</v>
      </c>
      <c r="AB7" s="72">
        <v>11</v>
      </c>
      <c r="AC7" s="82">
        <v>5</v>
      </c>
      <c r="AD7" s="83">
        <v>338</v>
      </c>
      <c r="AE7" s="84">
        <v>2150</v>
      </c>
      <c r="AF7" s="85">
        <v>40</v>
      </c>
      <c r="AG7" s="86"/>
      <c r="AH7" s="87"/>
      <c r="AI7" s="73">
        <f t="shared" si="2"/>
        <v>68</v>
      </c>
      <c r="AJ7" s="73">
        <f t="shared" si="3"/>
        <v>68</v>
      </c>
      <c r="AK7" s="73">
        <f t="shared" si="4"/>
        <v>13.6</v>
      </c>
      <c r="AL7" s="73">
        <f t="shared" si="5"/>
        <v>113.33333333333333</v>
      </c>
      <c r="AM7" s="73">
        <f t="shared" si="6"/>
        <v>58.51428571428571</v>
      </c>
      <c r="AN7" s="73">
        <f t="shared" si="7"/>
        <v>1.6730250953516672</v>
      </c>
      <c r="AO7" s="87">
        <v>2</v>
      </c>
      <c r="AP7" s="87">
        <v>1</v>
      </c>
      <c r="AQ7" s="87">
        <v>1</v>
      </c>
      <c r="AR7" s="87">
        <v>5</v>
      </c>
      <c r="AS7" s="87">
        <v>5</v>
      </c>
      <c r="AT7" s="87">
        <v>1</v>
      </c>
      <c r="AU7" s="87">
        <v>1</v>
      </c>
      <c r="AV7" s="87">
        <v>2.8</v>
      </c>
      <c r="AW7" s="87">
        <f t="shared" si="8"/>
        <v>68</v>
      </c>
      <c r="AX7" s="87">
        <f t="shared" si="9"/>
        <v>40.800000000000004</v>
      </c>
      <c r="AY7" s="87">
        <f t="shared" si="10"/>
        <v>87.42857142857142</v>
      </c>
      <c r="AZ7" s="87">
        <f t="shared" si="11"/>
        <v>129.43841059998678</v>
      </c>
      <c r="BA7" s="73">
        <f t="shared" si="59"/>
        <v>12.943841059998679</v>
      </c>
      <c r="BB7" s="73">
        <v>0.02</v>
      </c>
      <c r="BC7" s="73">
        <f t="shared" si="60"/>
        <v>127.10851920918702</v>
      </c>
      <c r="BD7" s="73">
        <v>4.840412061378459</v>
      </c>
      <c r="BE7" s="87">
        <v>5.680910008889502</v>
      </c>
      <c r="BF7" s="88"/>
      <c r="BG7" s="87"/>
      <c r="BH7" s="87">
        <v>511</v>
      </c>
      <c r="BI7" s="87">
        <f t="shared" si="12"/>
        <v>18.133333333333333</v>
      </c>
      <c r="BJ7" s="87">
        <f t="shared" si="13"/>
        <v>34</v>
      </c>
      <c r="BK7" s="87">
        <f t="shared" si="14"/>
        <v>58.51428571428571</v>
      </c>
      <c r="BL7" s="87">
        <v>8</v>
      </c>
      <c r="BM7" s="87">
        <v>6</v>
      </c>
      <c r="BN7" s="87">
        <v>1</v>
      </c>
      <c r="BO7" s="87">
        <f t="shared" si="15"/>
        <v>31.509118059640706</v>
      </c>
      <c r="BP7" s="73">
        <f t="shared" si="16"/>
        <v>4506.9428600942965</v>
      </c>
      <c r="BQ7" s="87"/>
      <c r="BR7" s="87">
        <v>111</v>
      </c>
      <c r="BS7" s="87">
        <f t="shared" si="17"/>
        <v>17</v>
      </c>
      <c r="BT7" s="87">
        <f t="shared" si="18"/>
        <v>34</v>
      </c>
      <c r="BU7" s="87">
        <f t="shared" si="19"/>
        <v>58.51428571428571</v>
      </c>
      <c r="BV7" s="87">
        <v>8</v>
      </c>
      <c r="BW7" s="87">
        <v>6</v>
      </c>
      <c r="BX7" s="87">
        <v>1</v>
      </c>
      <c r="BY7" s="87">
        <f t="shared" si="20"/>
        <v>30.113739566665224</v>
      </c>
      <c r="BZ7" s="87">
        <f t="shared" si="21"/>
        <v>7355.511108221737</v>
      </c>
      <c r="CA7" s="87"/>
      <c r="CB7" s="87">
        <v>122</v>
      </c>
      <c r="CC7" s="87">
        <f t="shared" si="22"/>
        <v>45.333333333333336</v>
      </c>
      <c r="CD7" s="87">
        <f t="shared" si="23"/>
        <v>15.11111111111111</v>
      </c>
      <c r="CE7" s="87">
        <f t="shared" si="24"/>
        <v>58.51428571428571</v>
      </c>
      <c r="CF7" s="87">
        <v>8</v>
      </c>
      <c r="CG7" s="87">
        <v>6</v>
      </c>
      <c r="CH7" s="87">
        <v>1</v>
      </c>
      <c r="CI7" s="87">
        <f t="shared" si="25"/>
        <v>33.86276321548412</v>
      </c>
      <c r="CJ7" s="87">
        <f t="shared" si="26"/>
        <v>8203.581935662625</v>
      </c>
      <c r="CK7" s="87"/>
      <c r="CL7" s="87">
        <v>388</v>
      </c>
      <c r="CM7" s="87">
        <f t="shared" si="27"/>
        <v>34</v>
      </c>
      <c r="CN7" s="87">
        <f t="shared" si="28"/>
        <v>17</v>
      </c>
      <c r="CO7" s="87">
        <f t="shared" si="29"/>
        <v>58.51428571428571</v>
      </c>
      <c r="CP7" s="87">
        <v>8</v>
      </c>
      <c r="CQ7" s="87">
        <v>6</v>
      </c>
      <c r="CR7" s="87">
        <v>1</v>
      </c>
      <c r="CS7" s="87">
        <f t="shared" si="30"/>
        <v>33.04009489916963</v>
      </c>
      <c r="CT7" s="87">
        <f t="shared" si="31"/>
        <v>7242.131851081781</v>
      </c>
      <c r="CU7" s="87"/>
      <c r="CV7" s="87">
        <v>384</v>
      </c>
      <c r="CW7" s="87">
        <f t="shared" si="32"/>
        <v>34</v>
      </c>
      <c r="CX7" s="87">
        <f t="shared" si="33"/>
        <v>20.923076923076923</v>
      </c>
      <c r="CY7" s="87">
        <f t="shared" si="34"/>
        <v>58.51428571428571</v>
      </c>
      <c r="CZ7" s="87">
        <v>8</v>
      </c>
      <c r="DA7" s="87">
        <v>6</v>
      </c>
      <c r="DB7" s="87">
        <v>1</v>
      </c>
      <c r="DC7" s="87">
        <f t="shared" si="35"/>
        <v>37.095519684619894</v>
      </c>
      <c r="DD7" s="92">
        <f t="shared" si="36"/>
        <v>5168.385010714639</v>
      </c>
      <c r="DE7" s="87"/>
      <c r="DF7" s="87">
        <v>234</v>
      </c>
      <c r="DG7" s="87">
        <f t="shared" si="37"/>
        <v>38.857142857142854</v>
      </c>
      <c r="DH7" s="87">
        <f t="shared" si="38"/>
        <v>22.666666666666668</v>
      </c>
      <c r="DI7" s="87">
        <f t="shared" si="39"/>
        <v>58.51428571428571</v>
      </c>
      <c r="DJ7" s="87">
        <v>8</v>
      </c>
      <c r="DK7" s="87">
        <v>6</v>
      </c>
      <c r="DL7" s="87">
        <v>1</v>
      </c>
      <c r="DM7" s="87">
        <f t="shared" si="40"/>
        <v>41.010660227339656</v>
      </c>
      <c r="DN7" s="87">
        <f t="shared" si="41"/>
        <v>8063.696401027127</v>
      </c>
      <c r="DO7" s="87"/>
      <c r="DP7" s="87">
        <v>477</v>
      </c>
      <c r="DQ7" s="87">
        <f t="shared" si="42"/>
        <v>45.333333333333336</v>
      </c>
      <c r="DR7" s="87">
        <f t="shared" si="43"/>
        <v>22.666666666666668</v>
      </c>
      <c r="DS7" s="87">
        <f t="shared" si="44"/>
        <v>58.51428571428571</v>
      </c>
      <c r="DT7" s="87">
        <v>8</v>
      </c>
      <c r="DU7" s="87">
        <v>6</v>
      </c>
      <c r="DV7" s="87">
        <v>1</v>
      </c>
      <c r="DW7" s="87">
        <f t="shared" si="45"/>
        <v>43.642745220933875</v>
      </c>
      <c r="DX7" s="87">
        <f t="shared" si="46"/>
        <v>8711.472390301937</v>
      </c>
      <c r="DY7" s="87"/>
      <c r="DZ7" s="92">
        <v>9999</v>
      </c>
      <c r="EA7" s="73">
        <f t="shared" si="47"/>
        <v>45.333333333333336</v>
      </c>
      <c r="EB7" s="73">
        <f t="shared" si="48"/>
        <v>22.666666666666668</v>
      </c>
      <c r="EC7" s="73">
        <f t="shared" si="49"/>
        <v>58.51428571428571</v>
      </c>
      <c r="ED7" s="73">
        <v>8</v>
      </c>
      <c r="EE7" s="73">
        <v>6</v>
      </c>
      <c r="EF7" s="73">
        <v>1</v>
      </c>
      <c r="EG7" s="73">
        <f t="shared" si="50"/>
        <v>43.642745220933875</v>
      </c>
      <c r="EH7" s="73">
        <f t="shared" si="51"/>
        <v>8711.472390301937</v>
      </c>
      <c r="EI7" s="87"/>
      <c r="EJ7" s="87">
        <v>548</v>
      </c>
      <c r="EK7" s="87">
        <f t="shared" si="52"/>
        <v>68</v>
      </c>
      <c r="EL7" s="87">
        <f t="shared" si="53"/>
        <v>24.727272727272727</v>
      </c>
      <c r="EM7" s="87">
        <f t="shared" si="54"/>
        <v>58.51428571428571</v>
      </c>
      <c r="EN7" s="87">
        <v>8</v>
      </c>
      <c r="EO7" s="87">
        <v>6</v>
      </c>
      <c r="EP7" s="87">
        <v>1</v>
      </c>
      <c r="EQ7" s="87">
        <f t="shared" si="55"/>
        <v>52.9964228632316</v>
      </c>
      <c r="ER7" s="87">
        <f t="shared" si="56"/>
        <v>10435.72547020577</v>
      </c>
      <c r="ES7" s="87"/>
      <c r="ET7" s="73">
        <v>50</v>
      </c>
      <c r="EU7" s="73">
        <v>0</v>
      </c>
      <c r="EV7" s="73">
        <v>0</v>
      </c>
      <c r="EW7" s="73">
        <v>0</v>
      </c>
      <c r="EX7" s="73">
        <v>50</v>
      </c>
      <c r="EY7" s="73">
        <v>0</v>
      </c>
      <c r="EZ7" s="73">
        <v>0</v>
      </c>
      <c r="FA7" s="73">
        <v>0</v>
      </c>
      <c r="FB7" s="73">
        <v>0</v>
      </c>
      <c r="FC7" s="92">
        <f t="shared" si="57"/>
        <v>4733.761993516891</v>
      </c>
    </row>
    <row r="8" spans="1:159" s="6" customFormat="1" ht="17.25">
      <c r="A8" s="71">
        <v>4</v>
      </c>
      <c r="B8" s="72" t="s">
        <v>425</v>
      </c>
      <c r="C8" s="75">
        <v>1</v>
      </c>
      <c r="D8" s="72">
        <v>4</v>
      </c>
      <c r="E8" s="75">
        <v>725</v>
      </c>
      <c r="F8" s="75">
        <v>4000</v>
      </c>
      <c r="G8" s="72">
        <f t="shared" si="0"/>
        <v>725</v>
      </c>
      <c r="H8" s="72">
        <v>256</v>
      </c>
      <c r="I8" s="72">
        <v>72</v>
      </c>
      <c r="J8" s="72">
        <v>72</v>
      </c>
      <c r="K8" s="72">
        <v>32</v>
      </c>
      <c r="L8" s="76">
        <v>5</v>
      </c>
      <c r="M8" s="72">
        <v>1440</v>
      </c>
      <c r="N8" s="76">
        <v>5</v>
      </c>
      <c r="O8" s="72" t="s">
        <v>21</v>
      </c>
      <c r="P8" s="77">
        <f t="shared" si="58"/>
        <v>576.8495399447654</v>
      </c>
      <c r="Q8" s="78">
        <f t="shared" si="1"/>
        <v>4005.641266994876</v>
      </c>
      <c r="R8" s="78"/>
      <c r="S8" s="79">
        <v>1024</v>
      </c>
      <c r="T8" s="80">
        <v>20</v>
      </c>
      <c r="U8" s="80">
        <v>150</v>
      </c>
      <c r="V8" s="72" t="s">
        <v>37</v>
      </c>
      <c r="W8" s="72" t="s">
        <v>38</v>
      </c>
      <c r="X8" s="14" t="s">
        <v>41</v>
      </c>
      <c r="Y8" s="72" t="s">
        <v>40</v>
      </c>
      <c r="Z8" s="81">
        <v>9.5</v>
      </c>
      <c r="AA8" s="124" t="s">
        <v>559</v>
      </c>
      <c r="AB8" s="72">
        <v>11</v>
      </c>
      <c r="AC8" s="82">
        <v>5</v>
      </c>
      <c r="AD8" s="83">
        <v>338</v>
      </c>
      <c r="AE8" s="84">
        <v>2150</v>
      </c>
      <c r="AF8" s="85">
        <v>40</v>
      </c>
      <c r="AG8" s="86"/>
      <c r="AH8" s="87"/>
      <c r="AI8" s="73">
        <f t="shared" si="2"/>
        <v>52.2</v>
      </c>
      <c r="AJ8" s="73">
        <f t="shared" si="3"/>
        <v>52.2</v>
      </c>
      <c r="AK8" s="73">
        <f t="shared" si="4"/>
        <v>11.6</v>
      </c>
      <c r="AL8" s="73">
        <f t="shared" si="5"/>
        <v>87</v>
      </c>
      <c r="AM8" s="73">
        <f t="shared" si="6"/>
        <v>48.76190476190476</v>
      </c>
      <c r="AN8" s="73">
        <f t="shared" si="7"/>
        <v>1.6730250953516672</v>
      </c>
      <c r="AO8" s="87">
        <v>2</v>
      </c>
      <c r="AP8" s="87">
        <v>1</v>
      </c>
      <c r="AQ8" s="87">
        <v>1</v>
      </c>
      <c r="AR8" s="87">
        <v>5</v>
      </c>
      <c r="AS8" s="87">
        <v>5</v>
      </c>
      <c r="AT8" s="87">
        <v>1</v>
      </c>
      <c r="AU8" s="87">
        <v>1</v>
      </c>
      <c r="AV8" s="87">
        <v>2.8</v>
      </c>
      <c r="AW8" s="87">
        <f t="shared" si="8"/>
        <v>52.199999999999996</v>
      </c>
      <c r="AX8" s="87">
        <f t="shared" si="9"/>
        <v>32.968421052631584</v>
      </c>
      <c r="AY8" s="87">
        <f t="shared" si="10"/>
        <v>68.33454545454546</v>
      </c>
      <c r="AZ8" s="87">
        <f t="shared" si="11"/>
        <v>103.40300336519365</v>
      </c>
      <c r="BA8" s="73">
        <f t="shared" si="59"/>
        <v>10.340300336519366</v>
      </c>
      <c r="BB8" s="73">
        <v>0.02</v>
      </c>
      <c r="BC8" s="73">
        <f t="shared" si="60"/>
        <v>101.54174930462017</v>
      </c>
      <c r="BD8" s="73">
        <v>4.840412061378459</v>
      </c>
      <c r="BE8" s="87">
        <v>5.680910008889502</v>
      </c>
      <c r="BF8" s="88"/>
      <c r="BG8" s="87"/>
      <c r="BH8" s="87">
        <v>511</v>
      </c>
      <c r="BI8" s="87">
        <f t="shared" si="12"/>
        <v>15.466666666666667</v>
      </c>
      <c r="BJ8" s="87">
        <f t="shared" si="13"/>
        <v>26.1</v>
      </c>
      <c r="BK8" s="87">
        <f t="shared" si="14"/>
        <v>48.76190476190476</v>
      </c>
      <c r="BL8" s="87">
        <v>8</v>
      </c>
      <c r="BM8" s="87">
        <v>6</v>
      </c>
      <c r="BN8" s="87">
        <v>1</v>
      </c>
      <c r="BO8" s="87">
        <f t="shared" si="15"/>
        <v>26.05407460482255</v>
      </c>
      <c r="BP8" s="73">
        <f t="shared" si="16"/>
        <v>3834.471783039634</v>
      </c>
      <c r="BQ8" s="87"/>
      <c r="BR8" s="87">
        <v>111</v>
      </c>
      <c r="BS8" s="87">
        <f t="shared" si="17"/>
        <v>14.5</v>
      </c>
      <c r="BT8" s="87">
        <f t="shared" si="18"/>
        <v>26.1</v>
      </c>
      <c r="BU8" s="87">
        <f t="shared" si="19"/>
        <v>48.76190476190476</v>
      </c>
      <c r="BV8" s="87">
        <v>8</v>
      </c>
      <c r="BW8" s="87">
        <v>6</v>
      </c>
      <c r="BX8" s="87">
        <v>1</v>
      </c>
      <c r="BY8" s="87">
        <f t="shared" si="20"/>
        <v>24.934018108285873</v>
      </c>
      <c r="BZ8" s="87">
        <f t="shared" si="21"/>
        <v>6171.3262392626675</v>
      </c>
      <c r="CA8" s="87"/>
      <c r="CB8" s="87">
        <v>122</v>
      </c>
      <c r="CC8" s="87">
        <f t="shared" si="22"/>
        <v>38.666666666666664</v>
      </c>
      <c r="CD8" s="87">
        <f t="shared" si="23"/>
        <v>11.6</v>
      </c>
      <c r="CE8" s="87">
        <f t="shared" si="24"/>
        <v>48.76190476190476</v>
      </c>
      <c r="CF8" s="87">
        <v>8</v>
      </c>
      <c r="CG8" s="87">
        <v>6</v>
      </c>
      <c r="CH8" s="87">
        <v>1</v>
      </c>
      <c r="CI8" s="87">
        <f t="shared" si="25"/>
        <v>26.858409080631297</v>
      </c>
      <c r="CJ8" s="87">
        <f t="shared" si="26"/>
        <v>6613.119312407493</v>
      </c>
      <c r="CK8" s="87"/>
      <c r="CL8" s="87">
        <v>388</v>
      </c>
      <c r="CM8" s="87">
        <f t="shared" si="27"/>
        <v>29</v>
      </c>
      <c r="CN8" s="87">
        <f t="shared" si="28"/>
        <v>13.05</v>
      </c>
      <c r="CO8" s="87">
        <f t="shared" si="29"/>
        <v>48.76190476190476</v>
      </c>
      <c r="CP8" s="87">
        <v>8</v>
      </c>
      <c r="CQ8" s="87">
        <v>6</v>
      </c>
      <c r="CR8" s="87">
        <v>1</v>
      </c>
      <c r="CS8" s="87">
        <f t="shared" si="30"/>
        <v>26.450128408770393</v>
      </c>
      <c r="CT8" s="87">
        <f t="shared" si="31"/>
        <v>5888.651748832562</v>
      </c>
      <c r="CU8" s="87"/>
      <c r="CV8" s="87">
        <v>384</v>
      </c>
      <c r="CW8" s="87">
        <f t="shared" si="32"/>
        <v>29</v>
      </c>
      <c r="CX8" s="87">
        <f t="shared" si="33"/>
        <v>16.06153846153846</v>
      </c>
      <c r="CY8" s="87">
        <f t="shared" si="34"/>
        <v>48.76190476190476</v>
      </c>
      <c r="CZ8" s="87">
        <v>8</v>
      </c>
      <c r="DA8" s="87">
        <v>6</v>
      </c>
      <c r="DB8" s="87">
        <v>1</v>
      </c>
      <c r="DC8" s="87">
        <f t="shared" si="35"/>
        <v>29.853727191997724</v>
      </c>
      <c r="DD8" s="92">
        <f t="shared" si="36"/>
        <v>4325.2387026191</v>
      </c>
      <c r="DE8" s="87"/>
      <c r="DF8" s="87">
        <v>234</v>
      </c>
      <c r="DG8" s="87">
        <f t="shared" si="37"/>
        <v>33.142857142857146</v>
      </c>
      <c r="DH8" s="87">
        <f t="shared" si="38"/>
        <v>17.4</v>
      </c>
      <c r="DI8" s="87">
        <f t="shared" si="39"/>
        <v>48.76190476190476</v>
      </c>
      <c r="DJ8" s="87">
        <v>8</v>
      </c>
      <c r="DK8" s="87">
        <v>6</v>
      </c>
      <c r="DL8" s="87">
        <v>1</v>
      </c>
      <c r="DM8" s="87">
        <f t="shared" si="40"/>
        <v>32.96442248987067</v>
      </c>
      <c r="DN8" s="87">
        <f t="shared" si="41"/>
        <v>6581.463378467192</v>
      </c>
      <c r="DO8" s="87"/>
      <c r="DP8" s="87">
        <v>477</v>
      </c>
      <c r="DQ8" s="87">
        <f t="shared" si="42"/>
        <v>38.666666666666664</v>
      </c>
      <c r="DR8" s="87">
        <f t="shared" si="43"/>
        <v>17.4</v>
      </c>
      <c r="DS8" s="87">
        <f t="shared" si="44"/>
        <v>48.76190476190476</v>
      </c>
      <c r="DT8" s="87">
        <v>8</v>
      </c>
      <c r="DU8" s="87">
        <v>6</v>
      </c>
      <c r="DV8" s="87">
        <v>1</v>
      </c>
      <c r="DW8" s="87">
        <f t="shared" si="45"/>
        <v>34.950862119696346</v>
      </c>
      <c r="DX8" s="87">
        <f t="shared" si="46"/>
        <v>7085.804866317954</v>
      </c>
      <c r="DY8" s="87"/>
      <c r="DZ8" s="92">
        <v>9999</v>
      </c>
      <c r="EA8" s="73">
        <f t="shared" si="47"/>
        <v>38.666666666666664</v>
      </c>
      <c r="EB8" s="73">
        <f t="shared" si="48"/>
        <v>17.4</v>
      </c>
      <c r="EC8" s="73">
        <f t="shared" si="49"/>
        <v>48.76190476190476</v>
      </c>
      <c r="ED8" s="73">
        <v>8</v>
      </c>
      <c r="EE8" s="73">
        <v>6</v>
      </c>
      <c r="EF8" s="73">
        <v>1</v>
      </c>
      <c r="EG8" s="73">
        <f t="shared" si="50"/>
        <v>34.950862119696346</v>
      </c>
      <c r="EH8" s="73">
        <f t="shared" si="51"/>
        <v>7085.804866317954</v>
      </c>
      <c r="EI8" s="87"/>
      <c r="EJ8" s="87">
        <v>548</v>
      </c>
      <c r="EK8" s="87">
        <f t="shared" si="52"/>
        <v>58</v>
      </c>
      <c r="EL8" s="87">
        <f t="shared" si="53"/>
        <v>18.98181818181818</v>
      </c>
      <c r="EM8" s="87">
        <f t="shared" si="54"/>
        <v>48.76190476190476</v>
      </c>
      <c r="EN8" s="87">
        <v>8</v>
      </c>
      <c r="EO8" s="87">
        <v>6</v>
      </c>
      <c r="EP8" s="87">
        <v>1</v>
      </c>
      <c r="EQ8" s="87">
        <f t="shared" si="55"/>
        <v>42.14689532820816</v>
      </c>
      <c r="ER8" s="87">
        <f t="shared" si="56"/>
        <v>8433.451378278673</v>
      </c>
      <c r="ES8" s="87"/>
      <c r="ET8" s="73">
        <v>50</v>
      </c>
      <c r="EU8" s="73">
        <v>0</v>
      </c>
      <c r="EV8" s="73">
        <v>0</v>
      </c>
      <c r="EW8" s="73">
        <v>0</v>
      </c>
      <c r="EX8" s="73">
        <v>50</v>
      </c>
      <c r="EY8" s="73">
        <v>0</v>
      </c>
      <c r="EZ8" s="73">
        <v>0</v>
      </c>
      <c r="FA8" s="73">
        <v>0</v>
      </c>
      <c r="FB8" s="73">
        <v>0</v>
      </c>
      <c r="FC8" s="92">
        <f t="shared" si="57"/>
        <v>4005.641266994876</v>
      </c>
    </row>
    <row r="9" spans="1:159" s="6" customFormat="1" ht="17.25">
      <c r="A9" s="71">
        <v>5</v>
      </c>
      <c r="B9" s="72" t="s">
        <v>562</v>
      </c>
      <c r="C9" s="75">
        <v>1</v>
      </c>
      <c r="D9" s="72">
        <v>4</v>
      </c>
      <c r="E9" s="75">
        <v>800</v>
      </c>
      <c r="F9" s="75">
        <v>4000</v>
      </c>
      <c r="G9" s="72">
        <f t="shared" si="0"/>
        <v>800</v>
      </c>
      <c r="H9" s="72">
        <v>256</v>
      </c>
      <c r="I9" s="72">
        <v>56</v>
      </c>
      <c r="J9" s="72">
        <v>56</v>
      </c>
      <c r="K9" s="72">
        <v>16</v>
      </c>
      <c r="L9" s="76">
        <v>5</v>
      </c>
      <c r="M9" s="72">
        <v>1120</v>
      </c>
      <c r="N9" s="76">
        <v>5</v>
      </c>
      <c r="O9" s="72" t="s">
        <v>21</v>
      </c>
      <c r="P9" s="77">
        <f t="shared" si="58"/>
        <v>488.5756267597398</v>
      </c>
      <c r="Q9" s="78">
        <f t="shared" si="1"/>
        <v>2809.2664365526903</v>
      </c>
      <c r="R9" s="78"/>
      <c r="S9" s="79">
        <v>1024</v>
      </c>
      <c r="T9" s="80">
        <v>20</v>
      </c>
      <c r="U9" s="80">
        <v>160</v>
      </c>
      <c r="V9" s="72" t="s">
        <v>37</v>
      </c>
      <c r="W9" s="72" t="s">
        <v>38</v>
      </c>
      <c r="X9" s="14" t="s">
        <v>39</v>
      </c>
      <c r="Y9" s="72" t="s">
        <v>40</v>
      </c>
      <c r="Z9" s="81">
        <v>11</v>
      </c>
      <c r="AA9" s="124" t="s">
        <v>559</v>
      </c>
      <c r="AB9" s="72">
        <v>11</v>
      </c>
      <c r="AC9" s="82">
        <v>5</v>
      </c>
      <c r="AD9" s="83">
        <v>338</v>
      </c>
      <c r="AE9" s="84">
        <v>2150</v>
      </c>
      <c r="AF9" s="85">
        <v>40</v>
      </c>
      <c r="AG9" s="86"/>
      <c r="AH9" s="87"/>
      <c r="AI9" s="73">
        <f t="shared" si="2"/>
        <v>44.8</v>
      </c>
      <c r="AJ9" s="73">
        <f t="shared" si="3"/>
        <v>44.8</v>
      </c>
      <c r="AK9" s="73">
        <f t="shared" si="4"/>
        <v>6.4</v>
      </c>
      <c r="AL9" s="73">
        <f t="shared" si="5"/>
        <v>74.66666666666667</v>
      </c>
      <c r="AM9" s="73">
        <f t="shared" si="6"/>
        <v>48.76190476190476</v>
      </c>
      <c r="AN9" s="73">
        <f t="shared" si="7"/>
        <v>1.6730250953516672</v>
      </c>
      <c r="AO9" s="87">
        <v>2</v>
      </c>
      <c r="AP9" s="87">
        <v>1</v>
      </c>
      <c r="AQ9" s="87">
        <v>1</v>
      </c>
      <c r="AR9" s="87">
        <v>5</v>
      </c>
      <c r="AS9" s="87">
        <v>5</v>
      </c>
      <c r="AT9" s="87">
        <v>1</v>
      </c>
      <c r="AU9" s="87">
        <v>1</v>
      </c>
      <c r="AV9" s="87">
        <v>2.8</v>
      </c>
      <c r="AW9" s="87">
        <f t="shared" si="8"/>
        <v>44.8</v>
      </c>
      <c r="AX9" s="87">
        <f t="shared" si="9"/>
        <v>22.4</v>
      </c>
      <c r="AY9" s="87">
        <f t="shared" si="10"/>
        <v>53.76</v>
      </c>
      <c r="AZ9" s="87">
        <f t="shared" si="11"/>
        <v>87.57948768205033</v>
      </c>
      <c r="BA9" s="73">
        <f t="shared" si="59"/>
        <v>8.757948768205033</v>
      </c>
      <c r="BB9" s="73">
        <v>0.02</v>
      </c>
      <c r="BC9" s="73">
        <f t="shared" si="60"/>
        <v>86.00305690377341</v>
      </c>
      <c r="BD9" s="73">
        <v>4.840412061378459</v>
      </c>
      <c r="BE9" s="87">
        <v>5.680910008889502</v>
      </c>
      <c r="BF9" s="88"/>
      <c r="BG9" s="87"/>
      <c r="BH9" s="87">
        <v>511</v>
      </c>
      <c r="BI9" s="87">
        <f t="shared" si="12"/>
        <v>8.533333333333333</v>
      </c>
      <c r="BJ9" s="87">
        <f t="shared" si="13"/>
        <v>22.4</v>
      </c>
      <c r="BK9" s="87">
        <f t="shared" si="14"/>
        <v>48.76190476190476</v>
      </c>
      <c r="BL9" s="87">
        <v>8</v>
      </c>
      <c r="BM9" s="87">
        <v>6</v>
      </c>
      <c r="BN9" s="87">
        <v>1</v>
      </c>
      <c r="BO9" s="87">
        <f t="shared" si="15"/>
        <v>16.31501081142597</v>
      </c>
      <c r="BP9" s="73">
        <f t="shared" si="16"/>
        <v>2575.7902961796317</v>
      </c>
      <c r="BQ9" s="87"/>
      <c r="BR9" s="87">
        <v>111</v>
      </c>
      <c r="BS9" s="87">
        <f t="shared" si="17"/>
        <v>8</v>
      </c>
      <c r="BT9" s="87">
        <f t="shared" si="18"/>
        <v>22.4</v>
      </c>
      <c r="BU9" s="87">
        <f t="shared" si="19"/>
        <v>48.76190476190476</v>
      </c>
      <c r="BV9" s="87">
        <v>8</v>
      </c>
      <c r="BW9" s="87">
        <v>6</v>
      </c>
      <c r="BX9" s="87">
        <v>1</v>
      </c>
      <c r="BY9" s="87">
        <f t="shared" si="20"/>
        <v>15.523551705468329</v>
      </c>
      <c r="BZ9" s="87">
        <f t="shared" si="21"/>
        <v>3971.7637699389206</v>
      </c>
      <c r="CA9" s="87"/>
      <c r="CB9" s="87">
        <v>122</v>
      </c>
      <c r="CC9" s="87">
        <f t="shared" si="22"/>
        <v>21.333333333333332</v>
      </c>
      <c r="CD9" s="87">
        <f t="shared" si="23"/>
        <v>9.955555555555556</v>
      </c>
      <c r="CE9" s="87">
        <f t="shared" si="24"/>
        <v>48.76190476190476</v>
      </c>
      <c r="CF9" s="87">
        <v>8</v>
      </c>
      <c r="CG9" s="87">
        <v>6</v>
      </c>
      <c r="CH9" s="87">
        <v>1</v>
      </c>
      <c r="CI9" s="87">
        <f t="shared" si="25"/>
        <v>20.03633822501747</v>
      </c>
      <c r="CJ9" s="87">
        <f t="shared" si="26"/>
        <v>5035.617837486503</v>
      </c>
      <c r="CK9" s="87"/>
      <c r="CL9" s="87">
        <v>388</v>
      </c>
      <c r="CM9" s="87">
        <f t="shared" si="27"/>
        <v>16</v>
      </c>
      <c r="CN9" s="87">
        <f t="shared" si="28"/>
        <v>11.2</v>
      </c>
      <c r="CO9" s="87">
        <f t="shared" si="29"/>
        <v>48.76190476190476</v>
      </c>
      <c r="CP9" s="87">
        <v>8</v>
      </c>
      <c r="CQ9" s="87">
        <v>6</v>
      </c>
      <c r="CR9" s="87">
        <v>1</v>
      </c>
      <c r="CS9" s="87">
        <f t="shared" si="30"/>
        <v>18.93541143838331</v>
      </c>
      <c r="CT9" s="87">
        <f t="shared" si="31"/>
        <v>4315.424722402038</v>
      </c>
      <c r="CU9" s="87"/>
      <c r="CV9" s="87">
        <v>384</v>
      </c>
      <c r="CW9" s="87">
        <f t="shared" si="32"/>
        <v>16</v>
      </c>
      <c r="CX9" s="87">
        <f t="shared" si="33"/>
        <v>13.784615384615385</v>
      </c>
      <c r="CY9" s="87">
        <f t="shared" si="34"/>
        <v>48.76190476190476</v>
      </c>
      <c r="CZ9" s="87">
        <v>8</v>
      </c>
      <c r="DA9" s="87">
        <v>6</v>
      </c>
      <c r="DB9" s="87">
        <v>1</v>
      </c>
      <c r="DC9" s="87">
        <f t="shared" si="35"/>
        <v>20.925412348562254</v>
      </c>
      <c r="DD9" s="92">
        <f t="shared" si="36"/>
        <v>3231.9450014207505</v>
      </c>
      <c r="DE9" s="87"/>
      <c r="DF9" s="87">
        <v>234</v>
      </c>
      <c r="DG9" s="87">
        <f t="shared" si="37"/>
        <v>18.285714285714285</v>
      </c>
      <c r="DH9" s="87">
        <f t="shared" si="38"/>
        <v>14.933333333333334</v>
      </c>
      <c r="DI9" s="87">
        <f t="shared" si="39"/>
        <v>48.76190476190476</v>
      </c>
      <c r="DJ9" s="87">
        <v>8</v>
      </c>
      <c r="DK9" s="87">
        <v>6</v>
      </c>
      <c r="DL9" s="87">
        <v>1</v>
      </c>
      <c r="DM9" s="87">
        <f t="shared" si="40"/>
        <v>23.26139866947915</v>
      </c>
      <c r="DN9" s="87">
        <f t="shared" si="41"/>
        <v>4758.953894443955</v>
      </c>
      <c r="DO9" s="87"/>
      <c r="DP9" s="87">
        <v>477</v>
      </c>
      <c r="DQ9" s="87">
        <f t="shared" si="42"/>
        <v>21.333333333333332</v>
      </c>
      <c r="DR9" s="87">
        <f t="shared" si="43"/>
        <v>14.933333333333334</v>
      </c>
      <c r="DS9" s="87">
        <f t="shared" si="44"/>
        <v>48.76190476190476</v>
      </c>
      <c r="DT9" s="87">
        <v>8</v>
      </c>
      <c r="DU9" s="87">
        <v>6</v>
      </c>
      <c r="DV9" s="87">
        <v>1</v>
      </c>
      <c r="DW9" s="87">
        <f t="shared" si="45"/>
        <v>25.084864391951005</v>
      </c>
      <c r="DX9" s="87">
        <f t="shared" si="46"/>
        <v>5205.066501106478</v>
      </c>
      <c r="DY9" s="87"/>
      <c r="DZ9" s="92">
        <v>9999</v>
      </c>
      <c r="EA9" s="73">
        <f t="shared" si="47"/>
        <v>21.333333333333332</v>
      </c>
      <c r="EB9" s="73">
        <f t="shared" si="48"/>
        <v>14.933333333333334</v>
      </c>
      <c r="EC9" s="73">
        <f t="shared" si="49"/>
        <v>48.76190476190476</v>
      </c>
      <c r="ED9" s="73">
        <v>8</v>
      </c>
      <c r="EE9" s="73">
        <v>6</v>
      </c>
      <c r="EF9" s="73">
        <v>1</v>
      </c>
      <c r="EG9" s="73">
        <f t="shared" si="50"/>
        <v>25.084864391951005</v>
      </c>
      <c r="EH9" s="73">
        <f t="shared" si="51"/>
        <v>5205.066501106478</v>
      </c>
      <c r="EI9" s="87"/>
      <c r="EJ9" s="87">
        <v>548</v>
      </c>
      <c r="EK9" s="87">
        <f t="shared" si="52"/>
        <v>32</v>
      </c>
      <c r="EL9" s="87">
        <f t="shared" si="53"/>
        <v>16.29090909090909</v>
      </c>
      <c r="EM9" s="87">
        <f t="shared" si="54"/>
        <v>48.76190476190476</v>
      </c>
      <c r="EN9" s="87">
        <v>8</v>
      </c>
      <c r="EO9" s="87">
        <v>6</v>
      </c>
      <c r="EP9" s="87">
        <v>1</v>
      </c>
      <c r="EQ9" s="87">
        <f t="shared" si="55"/>
        <v>31.308145883380654</v>
      </c>
      <c r="ER9" s="87">
        <f t="shared" si="56"/>
        <v>6396.3862694595555</v>
      </c>
      <c r="ES9" s="87"/>
      <c r="ET9" s="73">
        <v>50</v>
      </c>
      <c r="EU9" s="73">
        <v>0</v>
      </c>
      <c r="EV9" s="73">
        <v>0</v>
      </c>
      <c r="EW9" s="73">
        <v>0</v>
      </c>
      <c r="EX9" s="73">
        <v>50</v>
      </c>
      <c r="EY9" s="73">
        <v>0</v>
      </c>
      <c r="EZ9" s="73">
        <v>0</v>
      </c>
      <c r="FA9" s="73">
        <v>0</v>
      </c>
      <c r="FB9" s="73">
        <v>0</v>
      </c>
      <c r="FC9" s="92">
        <f t="shared" si="57"/>
        <v>2809.2664365526903</v>
      </c>
    </row>
    <row r="10" spans="1:159" s="17" customFormat="1" ht="17.25">
      <c r="A10" s="71">
        <v>6</v>
      </c>
      <c r="B10" s="72" t="s">
        <v>376</v>
      </c>
      <c r="C10" s="75">
        <v>1</v>
      </c>
      <c r="D10" s="72">
        <v>4</v>
      </c>
      <c r="E10" s="75">
        <v>850</v>
      </c>
      <c r="F10" s="75">
        <v>4800</v>
      </c>
      <c r="G10" s="72">
        <f t="shared" si="0"/>
        <v>850</v>
      </c>
      <c r="H10" s="72">
        <v>128</v>
      </c>
      <c r="I10" s="72">
        <v>40</v>
      </c>
      <c r="J10" s="72">
        <v>40</v>
      </c>
      <c r="K10" s="72">
        <v>16</v>
      </c>
      <c r="L10" s="76">
        <v>5</v>
      </c>
      <c r="M10" s="72">
        <v>800</v>
      </c>
      <c r="N10" s="76">
        <v>5</v>
      </c>
      <c r="O10" s="72" t="s">
        <v>21</v>
      </c>
      <c r="P10" s="77">
        <f t="shared" si="58"/>
        <v>431.60862380179157</v>
      </c>
      <c r="Q10" s="78">
        <f t="shared" si="1"/>
        <v>2688.6932855379105</v>
      </c>
      <c r="R10" s="78"/>
      <c r="S10" s="79">
        <v>1024</v>
      </c>
      <c r="T10" s="80">
        <v>18</v>
      </c>
      <c r="U10" s="80">
        <v>100</v>
      </c>
      <c r="V10" s="72" t="s">
        <v>37</v>
      </c>
      <c r="W10" s="72" t="s">
        <v>42</v>
      </c>
      <c r="X10" s="16" t="s">
        <v>41</v>
      </c>
      <c r="Y10" s="72" t="s">
        <v>40</v>
      </c>
      <c r="Z10" s="81">
        <v>9</v>
      </c>
      <c r="AA10" s="124" t="s">
        <v>559</v>
      </c>
      <c r="AB10" s="72">
        <v>11</v>
      </c>
      <c r="AC10" s="82">
        <v>5</v>
      </c>
      <c r="AD10" s="83">
        <v>178</v>
      </c>
      <c r="AE10" s="84">
        <v>1040</v>
      </c>
      <c r="AF10" s="85">
        <v>40</v>
      </c>
      <c r="AG10" s="72"/>
      <c r="AH10" s="73"/>
      <c r="AI10" s="73">
        <f aca="true" t="shared" si="61" ref="AI10:AI52">I10*E10/500</f>
        <v>68</v>
      </c>
      <c r="AJ10" s="73">
        <f aca="true" t="shared" si="62" ref="AJ10:AJ52">J10*E10/500</f>
        <v>68</v>
      </c>
      <c r="AK10" s="73">
        <f aca="true" t="shared" si="63" ref="AK10:AK41">K10*E10/1000</f>
        <v>13.6</v>
      </c>
      <c r="AL10" s="73">
        <f aca="true" t="shared" si="64" ref="AL10:AL52">M10*G10/6000</f>
        <v>113.33333333333333</v>
      </c>
      <c r="AM10" s="73">
        <f>H10*F10/(8000+500*AC10)</f>
        <v>58.51428571428571</v>
      </c>
      <c r="AN10" s="73">
        <f>POWER(INT(MIN(C10,D10)),0.7)+LN(INT(MIN(C10,D10)))*0.23</f>
        <v>1</v>
      </c>
      <c r="AO10" s="73">
        <v>2</v>
      </c>
      <c r="AP10" s="73">
        <v>1</v>
      </c>
      <c r="AQ10" s="73">
        <v>1</v>
      </c>
      <c r="AR10" s="73">
        <v>5</v>
      </c>
      <c r="AS10" s="73">
        <v>5</v>
      </c>
      <c r="AT10" s="73">
        <v>1</v>
      </c>
      <c r="AU10" s="73">
        <v>1</v>
      </c>
      <c r="AV10" s="73">
        <v>2.8</v>
      </c>
      <c r="AW10" s="73">
        <f t="shared" si="8"/>
        <v>68</v>
      </c>
      <c r="AX10" s="73">
        <f t="shared" si="9"/>
        <v>40.800000000000004</v>
      </c>
      <c r="AY10" s="73">
        <f t="shared" si="10"/>
        <v>87.42857142857142</v>
      </c>
      <c r="AZ10" s="73">
        <f t="shared" si="11"/>
        <v>77.36788345830463</v>
      </c>
      <c r="BA10" s="73">
        <f t="shared" si="59"/>
        <v>7.736788345830464</v>
      </c>
      <c r="BB10" s="73">
        <v>0.02</v>
      </c>
      <c r="BC10" s="73">
        <f t="shared" si="60"/>
        <v>75.97526155605516</v>
      </c>
      <c r="BD10" s="73">
        <v>4.840412061378459</v>
      </c>
      <c r="BE10" s="87">
        <v>5.680910008889502</v>
      </c>
      <c r="BF10" s="74"/>
      <c r="BG10" s="73"/>
      <c r="BH10" s="73">
        <v>511</v>
      </c>
      <c r="BI10" s="73">
        <f t="shared" si="12"/>
        <v>9.066666666666666</v>
      </c>
      <c r="BJ10" s="73">
        <f t="shared" si="13"/>
        <v>17</v>
      </c>
      <c r="BK10" s="73">
        <f t="shared" si="14"/>
        <v>58.51428571428571</v>
      </c>
      <c r="BL10" s="73">
        <v>8</v>
      </c>
      <c r="BM10" s="73">
        <v>6</v>
      </c>
      <c r="BN10" s="73">
        <v>1</v>
      </c>
      <c r="BO10" s="73">
        <f t="shared" si="15"/>
        <v>15.969543380042657</v>
      </c>
      <c r="BP10" s="73">
        <f t="shared" si="16"/>
        <v>2529.3554524407427</v>
      </c>
      <c r="BQ10" s="73"/>
      <c r="BR10" s="73">
        <v>111</v>
      </c>
      <c r="BS10" s="73">
        <f t="shared" si="17"/>
        <v>8.5</v>
      </c>
      <c r="BT10" s="73">
        <f t="shared" si="18"/>
        <v>17</v>
      </c>
      <c r="BU10" s="73">
        <f t="shared" si="19"/>
        <v>58.51428571428571</v>
      </c>
      <c r="BV10" s="73">
        <v>8</v>
      </c>
      <c r="BW10" s="73">
        <v>6</v>
      </c>
      <c r="BX10" s="73">
        <v>1</v>
      </c>
      <c r="BY10" s="73">
        <f t="shared" si="20"/>
        <v>15.253116032507501</v>
      </c>
      <c r="BZ10" s="73">
        <f t="shared" si="21"/>
        <v>3907.375667329708</v>
      </c>
      <c r="CA10" s="73"/>
      <c r="CB10" s="73">
        <v>122</v>
      </c>
      <c r="CC10" s="73">
        <f t="shared" si="22"/>
        <v>22.666666666666668</v>
      </c>
      <c r="CD10" s="73">
        <f t="shared" si="23"/>
        <v>7.555555555555555</v>
      </c>
      <c r="CE10" s="73">
        <f t="shared" si="24"/>
        <v>58.51428571428571</v>
      </c>
      <c r="CF10" s="73">
        <v>8</v>
      </c>
      <c r="CG10" s="73">
        <v>6</v>
      </c>
      <c r="CH10" s="73">
        <v>1</v>
      </c>
      <c r="CI10" s="73">
        <f t="shared" si="25"/>
        <v>17.17993634501986</v>
      </c>
      <c r="CJ10" s="73">
        <f t="shared" si="26"/>
        <v>4364.472241335147</v>
      </c>
      <c r="CK10" s="73"/>
      <c r="CL10" s="73">
        <v>388</v>
      </c>
      <c r="CM10" s="73">
        <f t="shared" si="27"/>
        <v>17</v>
      </c>
      <c r="CN10" s="73">
        <f t="shared" si="28"/>
        <v>8.5</v>
      </c>
      <c r="CO10" s="73">
        <f t="shared" si="29"/>
        <v>58.51428571428571</v>
      </c>
      <c r="CP10" s="73">
        <v>8</v>
      </c>
      <c r="CQ10" s="73">
        <v>6</v>
      </c>
      <c r="CR10" s="73">
        <v>1</v>
      </c>
      <c r="CS10" s="73">
        <f t="shared" si="30"/>
        <v>16.756587654915172</v>
      </c>
      <c r="CT10" s="73">
        <f t="shared" si="31"/>
        <v>3851.683767128552</v>
      </c>
      <c r="CU10" s="73"/>
      <c r="CV10" s="73">
        <v>384</v>
      </c>
      <c r="CW10" s="73">
        <f t="shared" si="32"/>
        <v>17</v>
      </c>
      <c r="CX10" s="73">
        <f t="shared" si="33"/>
        <v>10.461538461538462</v>
      </c>
      <c r="CY10" s="73">
        <f t="shared" si="34"/>
        <v>58.51428571428571</v>
      </c>
      <c r="CZ10" s="73">
        <v>8</v>
      </c>
      <c r="DA10" s="73">
        <v>6</v>
      </c>
      <c r="DB10" s="73">
        <v>1</v>
      </c>
      <c r="DC10" s="73">
        <f t="shared" si="35"/>
        <v>18.846455733889087</v>
      </c>
      <c r="DD10" s="92">
        <f t="shared" si="36"/>
        <v>2966.1943693045805</v>
      </c>
      <c r="DE10" s="73"/>
      <c r="DF10" s="73">
        <v>234</v>
      </c>
      <c r="DG10" s="73">
        <f t="shared" si="37"/>
        <v>19.428571428571427</v>
      </c>
      <c r="DH10" s="73">
        <f t="shared" si="38"/>
        <v>11.333333333333334</v>
      </c>
      <c r="DI10" s="73">
        <f t="shared" si="39"/>
        <v>58.51428571428571</v>
      </c>
      <c r="DJ10" s="73">
        <v>8</v>
      </c>
      <c r="DK10" s="73">
        <v>6</v>
      </c>
      <c r="DL10" s="73">
        <v>1</v>
      </c>
      <c r="DM10" s="73">
        <f t="shared" si="40"/>
        <v>20.871024787938733</v>
      </c>
      <c r="DN10" s="73">
        <f t="shared" si="41"/>
        <v>4302.450576285765</v>
      </c>
      <c r="DO10" s="73"/>
      <c r="DP10" s="73">
        <v>477</v>
      </c>
      <c r="DQ10" s="73">
        <f t="shared" si="42"/>
        <v>22.666666666666668</v>
      </c>
      <c r="DR10" s="73">
        <f t="shared" si="43"/>
        <v>11.333333333333334</v>
      </c>
      <c r="DS10" s="73">
        <f t="shared" si="44"/>
        <v>58.51428571428571</v>
      </c>
      <c r="DT10" s="73">
        <v>8</v>
      </c>
      <c r="DU10" s="73">
        <v>6</v>
      </c>
      <c r="DV10" s="73">
        <v>1</v>
      </c>
      <c r="DW10" s="73">
        <f t="shared" si="45"/>
        <v>22.235989142583428</v>
      </c>
      <c r="DX10" s="73">
        <f t="shared" si="46"/>
        <v>4653.029967111426</v>
      </c>
      <c r="DY10" s="73"/>
      <c r="DZ10" s="92">
        <v>9999</v>
      </c>
      <c r="EA10" s="73">
        <f t="shared" si="47"/>
        <v>22.666666666666668</v>
      </c>
      <c r="EB10" s="73">
        <f t="shared" si="48"/>
        <v>11.333333333333334</v>
      </c>
      <c r="EC10" s="73">
        <f t="shared" si="49"/>
        <v>58.51428571428571</v>
      </c>
      <c r="ED10" s="73">
        <v>8</v>
      </c>
      <c r="EE10" s="73">
        <v>6</v>
      </c>
      <c r="EF10" s="73">
        <v>1</v>
      </c>
      <c r="EG10" s="73">
        <f t="shared" si="50"/>
        <v>22.235989142583428</v>
      </c>
      <c r="EH10" s="73">
        <f t="shared" si="51"/>
        <v>4653.029967111426</v>
      </c>
      <c r="EI10" s="73"/>
      <c r="EJ10" s="73">
        <v>548</v>
      </c>
      <c r="EK10" s="73">
        <f t="shared" si="52"/>
        <v>34</v>
      </c>
      <c r="EL10" s="73">
        <f t="shared" si="53"/>
        <v>12.363636363636363</v>
      </c>
      <c r="EM10" s="73">
        <f t="shared" si="54"/>
        <v>58.51428571428571</v>
      </c>
      <c r="EN10" s="73">
        <v>8</v>
      </c>
      <c r="EO10" s="73">
        <v>6</v>
      </c>
      <c r="EP10" s="73">
        <v>1</v>
      </c>
      <c r="EQ10" s="73">
        <f t="shared" si="55"/>
        <v>27.112097496398395</v>
      </c>
      <c r="ER10" s="73">
        <f t="shared" si="56"/>
        <v>5595.192686744322</v>
      </c>
      <c r="ES10" s="73"/>
      <c r="ET10" s="73">
        <v>50</v>
      </c>
      <c r="EU10" s="73">
        <v>0</v>
      </c>
      <c r="EV10" s="73">
        <v>0</v>
      </c>
      <c r="EW10" s="73">
        <v>0</v>
      </c>
      <c r="EX10" s="73">
        <v>50</v>
      </c>
      <c r="EY10" s="73">
        <v>0</v>
      </c>
      <c r="EZ10" s="73">
        <v>0</v>
      </c>
      <c r="FA10" s="73">
        <v>0</v>
      </c>
      <c r="FB10" s="73">
        <v>0</v>
      </c>
      <c r="FC10" s="92">
        <f t="shared" si="57"/>
        <v>2688.6932855379105</v>
      </c>
    </row>
    <row r="11" spans="1:159" s="17" customFormat="1" ht="17.25">
      <c r="A11" s="71">
        <v>7</v>
      </c>
      <c r="B11" s="72" t="s">
        <v>426</v>
      </c>
      <c r="C11" s="75">
        <v>1</v>
      </c>
      <c r="D11" s="72">
        <v>4</v>
      </c>
      <c r="E11" s="75">
        <v>700</v>
      </c>
      <c r="F11" s="75">
        <v>4600</v>
      </c>
      <c r="G11" s="72">
        <f t="shared" si="0"/>
        <v>700</v>
      </c>
      <c r="H11" s="72">
        <v>128</v>
      </c>
      <c r="I11" s="72">
        <v>36</v>
      </c>
      <c r="J11" s="72">
        <v>36</v>
      </c>
      <c r="K11" s="72">
        <v>16</v>
      </c>
      <c r="L11" s="76">
        <v>5</v>
      </c>
      <c r="M11" s="72">
        <v>720</v>
      </c>
      <c r="N11" s="76">
        <v>5</v>
      </c>
      <c r="O11" s="72" t="s">
        <v>21</v>
      </c>
      <c r="P11" s="77">
        <f t="shared" si="58"/>
        <v>351.72521300407914</v>
      </c>
      <c r="Q11" s="78">
        <f t="shared" si="1"/>
        <v>2212.256210239609</v>
      </c>
      <c r="R11" s="78"/>
      <c r="S11" s="79">
        <v>1024</v>
      </c>
      <c r="T11" s="80">
        <v>16</v>
      </c>
      <c r="U11" s="80">
        <v>80</v>
      </c>
      <c r="V11" s="72" t="s">
        <v>37</v>
      </c>
      <c r="W11" s="72" t="s">
        <v>42</v>
      </c>
      <c r="X11" s="16" t="s">
        <v>41</v>
      </c>
      <c r="Y11" s="72" t="s">
        <v>40</v>
      </c>
      <c r="Z11" s="81">
        <v>8.15</v>
      </c>
      <c r="AA11" s="124" t="s">
        <v>559</v>
      </c>
      <c r="AB11" s="72">
        <v>11</v>
      </c>
      <c r="AC11" s="82">
        <v>5</v>
      </c>
      <c r="AD11" s="83">
        <v>178</v>
      </c>
      <c r="AE11" s="84">
        <v>1040</v>
      </c>
      <c r="AF11" s="85">
        <v>40</v>
      </c>
      <c r="AG11" s="72"/>
      <c r="AH11" s="73"/>
      <c r="AI11" s="73">
        <f t="shared" si="61"/>
        <v>50.4</v>
      </c>
      <c r="AJ11" s="73">
        <f t="shared" si="62"/>
        <v>50.4</v>
      </c>
      <c r="AK11" s="73">
        <f t="shared" si="63"/>
        <v>11.2</v>
      </c>
      <c r="AL11" s="73">
        <f t="shared" si="64"/>
        <v>84</v>
      </c>
      <c r="AM11" s="73">
        <f>H11*F11/(8000+500*AC11)</f>
        <v>56.076190476190476</v>
      </c>
      <c r="AN11" s="73">
        <f>POWER(INT(MIN(C11,D11)),0.7)+LN(INT(MIN(C11,D11)))*0.23</f>
        <v>1</v>
      </c>
      <c r="AO11" s="73">
        <v>2</v>
      </c>
      <c r="AP11" s="73">
        <v>1</v>
      </c>
      <c r="AQ11" s="73">
        <v>1</v>
      </c>
      <c r="AR11" s="73">
        <v>5</v>
      </c>
      <c r="AS11" s="73">
        <v>5</v>
      </c>
      <c r="AT11" s="73">
        <v>1</v>
      </c>
      <c r="AU11" s="73">
        <v>1</v>
      </c>
      <c r="AV11" s="73">
        <v>2.8</v>
      </c>
      <c r="AW11" s="73">
        <f t="shared" si="8"/>
        <v>50.4</v>
      </c>
      <c r="AX11" s="73">
        <f t="shared" si="9"/>
        <v>31.831578947368417</v>
      </c>
      <c r="AY11" s="73">
        <f t="shared" si="10"/>
        <v>65.97818181818182</v>
      </c>
      <c r="AZ11" s="73">
        <f t="shared" si="11"/>
        <v>63.04840493998956</v>
      </c>
      <c r="BA11" s="73">
        <f t="shared" si="59"/>
        <v>6.304840493998956</v>
      </c>
      <c r="BB11" s="73">
        <v>0.02</v>
      </c>
      <c r="BC11" s="73">
        <f t="shared" si="60"/>
        <v>61.91353365106975</v>
      </c>
      <c r="BD11" s="73">
        <v>4.840412061378459</v>
      </c>
      <c r="BE11" s="87">
        <v>5.680910008889502</v>
      </c>
      <c r="BF11" s="74"/>
      <c r="BG11" s="73"/>
      <c r="BH11" s="73">
        <v>511</v>
      </c>
      <c r="BI11" s="73">
        <f t="shared" si="12"/>
        <v>7.466666666666667</v>
      </c>
      <c r="BJ11" s="73">
        <f t="shared" si="13"/>
        <v>12.6</v>
      </c>
      <c r="BK11" s="73">
        <f t="shared" si="14"/>
        <v>56.076190476190476</v>
      </c>
      <c r="BL11" s="73">
        <v>8</v>
      </c>
      <c r="BM11" s="73">
        <v>6</v>
      </c>
      <c r="BN11" s="73">
        <v>1</v>
      </c>
      <c r="BO11" s="73">
        <f t="shared" si="15"/>
        <v>12.77586340505773</v>
      </c>
      <c r="BP11" s="73">
        <f t="shared" si="16"/>
        <v>2092.3915744981027</v>
      </c>
      <c r="BQ11" s="73"/>
      <c r="BR11" s="73">
        <v>111</v>
      </c>
      <c r="BS11" s="73">
        <f t="shared" si="17"/>
        <v>7</v>
      </c>
      <c r="BT11" s="73">
        <f t="shared" si="18"/>
        <v>12.6</v>
      </c>
      <c r="BU11" s="73">
        <f t="shared" si="19"/>
        <v>56.076190476190476</v>
      </c>
      <c r="BV11" s="73">
        <v>8</v>
      </c>
      <c r="BW11" s="73">
        <v>6</v>
      </c>
      <c r="BX11" s="73">
        <v>1</v>
      </c>
      <c r="BY11" s="73">
        <f t="shared" si="20"/>
        <v>12.218362920399017</v>
      </c>
      <c r="BZ11" s="73">
        <f t="shared" si="21"/>
        <v>3178.950775714663</v>
      </c>
      <c r="CA11" s="73"/>
      <c r="CB11" s="73">
        <v>122</v>
      </c>
      <c r="CC11" s="73">
        <f t="shared" si="22"/>
        <v>18.666666666666668</v>
      </c>
      <c r="CD11" s="73">
        <f t="shared" si="23"/>
        <v>5.6</v>
      </c>
      <c r="CE11" s="73">
        <f t="shared" si="24"/>
        <v>56.076190476190476</v>
      </c>
      <c r="CF11" s="73">
        <v>8</v>
      </c>
      <c r="CG11" s="73">
        <v>6</v>
      </c>
      <c r="CH11" s="73">
        <v>1</v>
      </c>
      <c r="CI11" s="73">
        <f t="shared" si="25"/>
        <v>13.176681212934989</v>
      </c>
      <c r="CJ11" s="73">
        <f t="shared" si="26"/>
        <v>3410.2114650972153</v>
      </c>
      <c r="CK11" s="73"/>
      <c r="CL11" s="73">
        <v>388</v>
      </c>
      <c r="CM11" s="73">
        <f t="shared" si="27"/>
        <v>14</v>
      </c>
      <c r="CN11" s="73">
        <f t="shared" si="28"/>
        <v>6.3</v>
      </c>
      <c r="CO11" s="73">
        <f t="shared" si="29"/>
        <v>56.076190476190476</v>
      </c>
      <c r="CP11" s="73">
        <v>8</v>
      </c>
      <c r="CQ11" s="73">
        <v>6</v>
      </c>
      <c r="CR11" s="73">
        <v>1</v>
      </c>
      <c r="CS11" s="73">
        <f t="shared" si="30"/>
        <v>12.973177142077736</v>
      </c>
      <c r="CT11" s="73">
        <f t="shared" si="31"/>
        <v>3035.925675928669</v>
      </c>
      <c r="CU11" s="73"/>
      <c r="CV11" s="73">
        <v>384</v>
      </c>
      <c r="CW11" s="73">
        <f t="shared" si="32"/>
        <v>14</v>
      </c>
      <c r="CX11" s="73">
        <f t="shared" si="33"/>
        <v>7.753846153846154</v>
      </c>
      <c r="CY11" s="73">
        <f t="shared" si="34"/>
        <v>56.076190476190476</v>
      </c>
      <c r="CZ11" s="73">
        <v>8</v>
      </c>
      <c r="DA11" s="73">
        <v>6</v>
      </c>
      <c r="DB11" s="73">
        <v>1</v>
      </c>
      <c r="DC11" s="73">
        <f t="shared" si="35"/>
        <v>14.67275025068084</v>
      </c>
      <c r="DD11" s="92">
        <f t="shared" si="36"/>
        <v>2415.7429019484844</v>
      </c>
      <c r="DE11" s="73"/>
      <c r="DF11" s="73">
        <v>234</v>
      </c>
      <c r="DG11" s="73">
        <f t="shared" si="37"/>
        <v>16</v>
      </c>
      <c r="DH11" s="73">
        <f t="shared" si="38"/>
        <v>8.4</v>
      </c>
      <c r="DI11" s="73">
        <f t="shared" si="39"/>
        <v>56.076190476190476</v>
      </c>
      <c r="DJ11" s="73">
        <v>8</v>
      </c>
      <c r="DK11" s="73">
        <v>6</v>
      </c>
      <c r="DL11" s="73">
        <v>1</v>
      </c>
      <c r="DM11" s="73">
        <f t="shared" si="40"/>
        <v>16.23220369021129</v>
      </c>
      <c r="DN11" s="73">
        <f t="shared" si="41"/>
        <v>3405.58120520165</v>
      </c>
      <c r="DO11" s="73"/>
      <c r="DP11" s="73">
        <v>477</v>
      </c>
      <c r="DQ11" s="73">
        <f t="shared" si="42"/>
        <v>18.666666666666668</v>
      </c>
      <c r="DR11" s="73">
        <f t="shared" si="43"/>
        <v>8.4</v>
      </c>
      <c r="DS11" s="73">
        <f t="shared" si="44"/>
        <v>56.076190476190476</v>
      </c>
      <c r="DT11" s="73">
        <v>8</v>
      </c>
      <c r="DU11" s="73">
        <v>6</v>
      </c>
      <c r="DV11" s="73">
        <v>1</v>
      </c>
      <c r="DW11" s="73">
        <f t="shared" si="45"/>
        <v>17.231129413240243</v>
      </c>
      <c r="DX11" s="73">
        <f t="shared" si="46"/>
        <v>3670.6682054457187</v>
      </c>
      <c r="DY11" s="73"/>
      <c r="DZ11" s="92">
        <v>9999</v>
      </c>
      <c r="EA11" s="73">
        <f t="shared" si="47"/>
        <v>18.666666666666668</v>
      </c>
      <c r="EB11" s="73">
        <f t="shared" si="48"/>
        <v>8.4</v>
      </c>
      <c r="EC11" s="73">
        <f t="shared" si="49"/>
        <v>56.076190476190476</v>
      </c>
      <c r="ED11" s="73">
        <v>8</v>
      </c>
      <c r="EE11" s="73">
        <v>6</v>
      </c>
      <c r="EF11" s="73">
        <v>1</v>
      </c>
      <c r="EG11" s="73">
        <f t="shared" si="50"/>
        <v>17.231129413240243</v>
      </c>
      <c r="EH11" s="73">
        <f t="shared" si="51"/>
        <v>3670.6682054457187</v>
      </c>
      <c r="EI11" s="73"/>
      <c r="EJ11" s="73">
        <v>548</v>
      </c>
      <c r="EK11" s="73">
        <f t="shared" si="52"/>
        <v>28</v>
      </c>
      <c r="EL11" s="73">
        <f t="shared" si="53"/>
        <v>9.163636363636364</v>
      </c>
      <c r="EM11" s="73">
        <f t="shared" si="54"/>
        <v>56.076190476190476</v>
      </c>
      <c r="EN11" s="73">
        <v>8</v>
      </c>
      <c r="EO11" s="73">
        <v>6</v>
      </c>
      <c r="EP11" s="73">
        <v>1</v>
      </c>
      <c r="EQ11" s="73">
        <f t="shared" si="55"/>
        <v>20.870093592026535</v>
      </c>
      <c r="ER11" s="73">
        <f t="shared" si="56"/>
        <v>4386.630327739143</v>
      </c>
      <c r="ES11" s="73"/>
      <c r="ET11" s="73">
        <v>50</v>
      </c>
      <c r="EU11" s="73">
        <v>0</v>
      </c>
      <c r="EV11" s="73">
        <v>0</v>
      </c>
      <c r="EW11" s="73">
        <v>0</v>
      </c>
      <c r="EX11" s="73">
        <v>50</v>
      </c>
      <c r="EY11" s="73">
        <v>0</v>
      </c>
      <c r="EZ11" s="73">
        <v>0</v>
      </c>
      <c r="FA11" s="73">
        <v>0</v>
      </c>
      <c r="FB11" s="73">
        <v>0</v>
      </c>
      <c r="FC11" s="92">
        <f t="shared" si="57"/>
        <v>2212.256210239609</v>
      </c>
    </row>
    <row r="12" spans="1:159" s="17" customFormat="1" ht="17.25">
      <c r="A12" s="71">
        <v>8</v>
      </c>
      <c r="B12" s="72" t="s">
        <v>545</v>
      </c>
      <c r="C12" s="75">
        <v>1</v>
      </c>
      <c r="D12" s="72">
        <v>2</v>
      </c>
      <c r="E12" s="75">
        <v>775</v>
      </c>
      <c r="F12" s="75">
        <v>4000</v>
      </c>
      <c r="G12" s="72">
        <f t="shared" si="0"/>
        <v>775</v>
      </c>
      <c r="H12" s="72">
        <v>128</v>
      </c>
      <c r="I12" s="72">
        <v>20</v>
      </c>
      <c r="J12" s="72">
        <v>20</v>
      </c>
      <c r="K12" s="72">
        <v>8</v>
      </c>
      <c r="L12" s="76">
        <v>5</v>
      </c>
      <c r="M12" s="72">
        <v>400</v>
      </c>
      <c r="N12" s="76">
        <v>5</v>
      </c>
      <c r="O12" s="72" t="s">
        <v>21</v>
      </c>
      <c r="P12" s="77">
        <f t="shared" si="58"/>
        <v>233.57410133020056</v>
      </c>
      <c r="Q12" s="78">
        <f t="shared" si="1"/>
        <v>1402.2177974930498</v>
      </c>
      <c r="R12" s="78"/>
      <c r="S12" s="79">
        <v>1024</v>
      </c>
      <c r="T12" s="80">
        <v>12</v>
      </c>
      <c r="U12" s="80">
        <v>60</v>
      </c>
      <c r="V12" s="72" t="s">
        <v>37</v>
      </c>
      <c r="W12" s="72" t="s">
        <v>27</v>
      </c>
      <c r="X12" s="72" t="s">
        <v>28</v>
      </c>
      <c r="Y12" s="72" t="s">
        <v>23</v>
      </c>
      <c r="Z12" s="81">
        <v>6.7</v>
      </c>
      <c r="AA12" s="124" t="s">
        <v>559</v>
      </c>
      <c r="AB12" s="72">
        <v>11</v>
      </c>
      <c r="AC12" s="82">
        <v>5</v>
      </c>
      <c r="AD12" s="83">
        <v>104</v>
      </c>
      <c r="AE12" s="84">
        <v>627</v>
      </c>
      <c r="AF12" s="85">
        <v>40</v>
      </c>
      <c r="AG12" s="72"/>
      <c r="AH12" s="73"/>
      <c r="AI12" s="73">
        <f t="shared" si="61"/>
        <v>31</v>
      </c>
      <c r="AJ12" s="73">
        <f t="shared" si="62"/>
        <v>31</v>
      </c>
      <c r="AK12" s="73">
        <f t="shared" si="63"/>
        <v>6.2</v>
      </c>
      <c r="AL12" s="73">
        <f t="shared" si="64"/>
        <v>51.666666666666664</v>
      </c>
      <c r="AM12" s="73">
        <f>H12*F12/(8000+500*AC12)</f>
        <v>48.76190476190476</v>
      </c>
      <c r="AN12" s="73">
        <f>POWER(INT(MIN(C12,D12)),0.7)+LN(INT(MIN(C12,D12)))*0.23</f>
        <v>1</v>
      </c>
      <c r="AO12" s="73">
        <v>2</v>
      </c>
      <c r="AP12" s="73">
        <v>1</v>
      </c>
      <c r="AQ12" s="73">
        <v>1</v>
      </c>
      <c r="AR12" s="73">
        <v>5</v>
      </c>
      <c r="AS12" s="73">
        <v>5</v>
      </c>
      <c r="AT12" s="73">
        <v>1</v>
      </c>
      <c r="AU12" s="73">
        <v>1</v>
      </c>
      <c r="AV12" s="73">
        <v>2.8</v>
      </c>
      <c r="AW12" s="73">
        <f t="shared" si="8"/>
        <v>31</v>
      </c>
      <c r="AX12" s="73">
        <f t="shared" si="9"/>
        <v>18.6</v>
      </c>
      <c r="AY12" s="73">
        <f t="shared" si="10"/>
        <v>39.85714285714286</v>
      </c>
      <c r="AZ12" s="73">
        <f t="shared" si="11"/>
        <v>41.86926037625244</v>
      </c>
      <c r="BA12" s="73">
        <f t="shared" si="59"/>
        <v>4.186926037625244</v>
      </c>
      <c r="BB12" s="73">
        <v>0.02</v>
      </c>
      <c r="BC12" s="73">
        <f t="shared" si="60"/>
        <v>41.11561368947989</v>
      </c>
      <c r="BD12" s="73">
        <v>4.840412061378459</v>
      </c>
      <c r="BE12" s="87">
        <v>5.680910008889502</v>
      </c>
      <c r="BF12" s="74"/>
      <c r="BG12" s="73"/>
      <c r="BH12" s="73">
        <v>511</v>
      </c>
      <c r="BI12" s="73">
        <f t="shared" si="12"/>
        <v>4.133333333333334</v>
      </c>
      <c r="BJ12" s="73">
        <f t="shared" si="13"/>
        <v>7.75</v>
      </c>
      <c r="BK12" s="73">
        <f t="shared" si="14"/>
        <v>48.76190476190476</v>
      </c>
      <c r="BL12" s="73">
        <v>8</v>
      </c>
      <c r="BM12" s="73">
        <v>6</v>
      </c>
      <c r="BN12" s="73">
        <v>1</v>
      </c>
      <c r="BO12" s="73">
        <f t="shared" si="15"/>
        <v>7.325510286498899</v>
      </c>
      <c r="BP12" s="73">
        <f t="shared" si="16"/>
        <v>1304.1376765374869</v>
      </c>
      <c r="BQ12" s="73"/>
      <c r="BR12" s="73">
        <v>111</v>
      </c>
      <c r="BS12" s="73">
        <f t="shared" si="17"/>
        <v>3.875</v>
      </c>
      <c r="BT12" s="73">
        <f t="shared" si="18"/>
        <v>7.75</v>
      </c>
      <c r="BU12" s="73">
        <f t="shared" si="19"/>
        <v>48.76190476190476</v>
      </c>
      <c r="BV12" s="73">
        <v>8</v>
      </c>
      <c r="BW12" s="73">
        <v>6</v>
      </c>
      <c r="BX12" s="73">
        <v>1</v>
      </c>
      <c r="BY12" s="73">
        <f t="shared" si="20"/>
        <v>6.994920837786323</v>
      </c>
      <c r="BZ12" s="73">
        <f t="shared" si="21"/>
        <v>1892.3858911293419</v>
      </c>
      <c r="CA12" s="73"/>
      <c r="CB12" s="73">
        <v>122</v>
      </c>
      <c r="CC12" s="73">
        <f t="shared" si="22"/>
        <v>10.333333333333334</v>
      </c>
      <c r="CD12" s="73">
        <f t="shared" si="23"/>
        <v>3.4444444444444446</v>
      </c>
      <c r="CE12" s="73">
        <f t="shared" si="24"/>
        <v>48.76190476190476</v>
      </c>
      <c r="CF12" s="73">
        <v>8</v>
      </c>
      <c r="CG12" s="73">
        <v>6</v>
      </c>
      <c r="CH12" s="73">
        <v>1</v>
      </c>
      <c r="CI12" s="73">
        <f t="shared" si="25"/>
        <v>7.884455372999019</v>
      </c>
      <c r="CJ12" s="73">
        <f t="shared" si="26"/>
        <v>2115.2386541605133</v>
      </c>
      <c r="CK12" s="73"/>
      <c r="CL12" s="73">
        <v>388</v>
      </c>
      <c r="CM12" s="73">
        <f t="shared" si="27"/>
        <v>7.75</v>
      </c>
      <c r="CN12" s="73">
        <f t="shared" si="28"/>
        <v>3.875</v>
      </c>
      <c r="CO12" s="73">
        <f t="shared" si="29"/>
        <v>48.76190476190476</v>
      </c>
      <c r="CP12" s="73">
        <v>8</v>
      </c>
      <c r="CQ12" s="73">
        <v>6</v>
      </c>
      <c r="CR12" s="73">
        <v>1</v>
      </c>
      <c r="CS12" s="73">
        <f t="shared" si="30"/>
        <v>7.688898039263179</v>
      </c>
      <c r="CT12" s="73">
        <f t="shared" si="31"/>
        <v>1866.4297404825775</v>
      </c>
      <c r="CU12" s="73"/>
      <c r="CV12" s="73">
        <v>384</v>
      </c>
      <c r="CW12" s="73">
        <f t="shared" si="32"/>
        <v>7.75</v>
      </c>
      <c r="CX12" s="73">
        <f t="shared" si="33"/>
        <v>4.769230769230769</v>
      </c>
      <c r="CY12" s="73">
        <f t="shared" si="34"/>
        <v>48.76190476190476</v>
      </c>
      <c r="CZ12" s="73">
        <v>8</v>
      </c>
      <c r="DA12" s="73">
        <v>6</v>
      </c>
      <c r="DB12" s="73">
        <v>1</v>
      </c>
      <c r="DC12" s="73">
        <f t="shared" si="35"/>
        <v>8.654897416672348</v>
      </c>
      <c r="DD12" s="73">
        <f t="shared" si="36"/>
        <v>1566.9893313007879</v>
      </c>
      <c r="DE12" s="73"/>
      <c r="DF12" s="73">
        <v>234</v>
      </c>
      <c r="DG12" s="73">
        <f t="shared" si="37"/>
        <v>8.857142857142858</v>
      </c>
      <c r="DH12" s="73">
        <f t="shared" si="38"/>
        <v>5.166666666666667</v>
      </c>
      <c r="DI12" s="73">
        <f t="shared" si="39"/>
        <v>48.76190476190476</v>
      </c>
      <c r="DJ12" s="73">
        <v>8</v>
      </c>
      <c r="DK12" s="73">
        <v>6</v>
      </c>
      <c r="DL12" s="73">
        <v>1</v>
      </c>
      <c r="DM12" s="73">
        <f t="shared" si="40"/>
        <v>9.592215994077387</v>
      </c>
      <c r="DN12" s="73">
        <f t="shared" si="41"/>
        <v>2087.97263961686</v>
      </c>
      <c r="DO12" s="73"/>
      <c r="DP12" s="73">
        <v>477</v>
      </c>
      <c r="DQ12" s="73">
        <f t="shared" si="42"/>
        <v>10.333333333333334</v>
      </c>
      <c r="DR12" s="73">
        <f t="shared" si="43"/>
        <v>5.166666666666667</v>
      </c>
      <c r="DS12" s="73">
        <f t="shared" si="44"/>
        <v>48.76190476190476</v>
      </c>
      <c r="DT12" s="73">
        <v>8</v>
      </c>
      <c r="DU12" s="73">
        <v>6</v>
      </c>
      <c r="DV12" s="73">
        <v>1</v>
      </c>
      <c r="DW12" s="73">
        <f t="shared" si="45"/>
        <v>10.224992349937995</v>
      </c>
      <c r="DX12" s="73">
        <f t="shared" si="46"/>
        <v>2259.227315497003</v>
      </c>
      <c r="DY12" s="73"/>
      <c r="DZ12" s="92">
        <v>9999</v>
      </c>
      <c r="EA12" s="73">
        <f t="shared" si="47"/>
        <v>10.333333333333334</v>
      </c>
      <c r="EB12" s="73">
        <f t="shared" si="48"/>
        <v>5.166666666666667</v>
      </c>
      <c r="EC12" s="73">
        <f t="shared" si="49"/>
        <v>48.76190476190476</v>
      </c>
      <c r="ED12" s="73">
        <v>8</v>
      </c>
      <c r="EE12" s="73">
        <v>6</v>
      </c>
      <c r="EF12" s="73">
        <v>1</v>
      </c>
      <c r="EG12" s="73">
        <f t="shared" si="50"/>
        <v>10.224992349937995</v>
      </c>
      <c r="EH12" s="73">
        <f t="shared" si="51"/>
        <v>2259.227315497003</v>
      </c>
      <c r="EI12" s="73"/>
      <c r="EJ12" s="73">
        <v>548</v>
      </c>
      <c r="EK12" s="73">
        <f t="shared" si="52"/>
        <v>15.5</v>
      </c>
      <c r="EL12" s="73">
        <f t="shared" si="53"/>
        <v>5.636363636363637</v>
      </c>
      <c r="EM12" s="73">
        <f t="shared" si="54"/>
        <v>48.76190476190476</v>
      </c>
      <c r="EN12" s="73">
        <v>8</v>
      </c>
      <c r="EO12" s="73">
        <v>6</v>
      </c>
      <c r="EP12" s="73">
        <v>1</v>
      </c>
      <c r="EQ12" s="73">
        <f t="shared" si="55"/>
        <v>12.490998878548803</v>
      </c>
      <c r="ER12" s="73">
        <f t="shared" si="56"/>
        <v>2721.5023613923927</v>
      </c>
      <c r="ES12" s="73"/>
      <c r="ET12" s="73">
        <v>50</v>
      </c>
      <c r="EU12" s="73">
        <v>0</v>
      </c>
      <c r="EV12" s="73">
        <v>0</v>
      </c>
      <c r="EW12" s="73">
        <v>0</v>
      </c>
      <c r="EX12" s="73">
        <v>50</v>
      </c>
      <c r="EY12" s="73">
        <v>0</v>
      </c>
      <c r="EZ12" s="73">
        <v>0</v>
      </c>
      <c r="FA12" s="73">
        <v>0</v>
      </c>
      <c r="FB12" s="73">
        <v>0</v>
      </c>
      <c r="FC12" s="92">
        <f t="shared" si="57"/>
        <v>1402.2177974930498</v>
      </c>
    </row>
    <row r="13" spans="1:159" s="17" customFormat="1" ht="17.25">
      <c r="A13" s="71">
        <v>9</v>
      </c>
      <c r="B13" s="72" t="s">
        <v>552</v>
      </c>
      <c r="C13" s="75">
        <v>1</v>
      </c>
      <c r="D13" s="72">
        <v>2</v>
      </c>
      <c r="E13" s="75">
        <v>650</v>
      </c>
      <c r="F13" s="75">
        <v>1800</v>
      </c>
      <c r="G13" s="72">
        <f t="shared" si="0"/>
        <v>650</v>
      </c>
      <c r="H13" s="72">
        <v>128</v>
      </c>
      <c r="I13" s="72">
        <v>20</v>
      </c>
      <c r="J13" s="72">
        <v>20</v>
      </c>
      <c r="K13" s="72">
        <v>8</v>
      </c>
      <c r="L13" s="76">
        <v>5</v>
      </c>
      <c r="M13" s="72">
        <v>400</v>
      </c>
      <c r="N13" s="76">
        <v>5</v>
      </c>
      <c r="O13" s="72" t="s">
        <v>21</v>
      </c>
      <c r="P13" s="77">
        <f t="shared" si="58"/>
        <v>169.6001301493888</v>
      </c>
      <c r="Q13" s="78">
        <f t="shared" si="1"/>
        <v>1204.7572697229357</v>
      </c>
      <c r="R13" s="78"/>
      <c r="S13" s="79">
        <v>1024</v>
      </c>
      <c r="T13" s="80">
        <v>9</v>
      </c>
      <c r="U13" s="80">
        <v>45</v>
      </c>
      <c r="V13" s="72" t="s">
        <v>37</v>
      </c>
      <c r="W13" s="72" t="s">
        <v>27</v>
      </c>
      <c r="X13" s="72" t="s">
        <v>28</v>
      </c>
      <c r="Y13" s="72" t="s">
        <v>23</v>
      </c>
      <c r="Z13" s="81">
        <v>6.7</v>
      </c>
      <c r="AA13" s="123" t="s">
        <v>556</v>
      </c>
      <c r="AB13" s="72">
        <v>11</v>
      </c>
      <c r="AC13" s="82">
        <v>3</v>
      </c>
      <c r="AD13" s="83">
        <v>104</v>
      </c>
      <c r="AE13" s="84">
        <v>627</v>
      </c>
      <c r="AF13" s="85">
        <v>40</v>
      </c>
      <c r="AG13" s="72"/>
      <c r="AH13" s="73"/>
      <c r="AI13" s="73">
        <f t="shared" si="61"/>
        <v>26</v>
      </c>
      <c r="AJ13" s="73">
        <f t="shared" si="62"/>
        <v>26</v>
      </c>
      <c r="AK13" s="73">
        <f t="shared" si="63"/>
        <v>5.2</v>
      </c>
      <c r="AL13" s="73">
        <f t="shared" si="64"/>
        <v>43.333333333333336</v>
      </c>
      <c r="AM13" s="73">
        <f>H13*F13/(8000+500*AC13)</f>
        <v>24.25263157894737</v>
      </c>
      <c r="AN13" s="73">
        <f>POWER(INT(MIN(C13,D13)),0.7)+LN(INT(MIN(C13,D13)))*0.23</f>
        <v>1</v>
      </c>
      <c r="AO13" s="73">
        <v>2</v>
      </c>
      <c r="AP13" s="73">
        <v>1</v>
      </c>
      <c r="AQ13" s="73">
        <v>1</v>
      </c>
      <c r="AR13" s="73">
        <v>5</v>
      </c>
      <c r="AS13" s="73">
        <v>5</v>
      </c>
      <c r="AT13" s="73">
        <v>1</v>
      </c>
      <c r="AU13" s="73">
        <v>1</v>
      </c>
      <c r="AV13" s="73">
        <v>2.8</v>
      </c>
      <c r="AW13" s="73">
        <f t="shared" si="8"/>
        <v>26</v>
      </c>
      <c r="AX13" s="73">
        <f t="shared" si="9"/>
        <v>15.600000000000001</v>
      </c>
      <c r="AY13" s="73">
        <f t="shared" si="10"/>
        <v>33.42857142857143</v>
      </c>
      <c r="AZ13" s="73">
        <f t="shared" si="11"/>
        <v>30.40162401837705</v>
      </c>
      <c r="BA13" s="73">
        <f t="shared" si="59"/>
        <v>3.040162401837705</v>
      </c>
      <c r="BB13" s="73">
        <v>0.02</v>
      </c>
      <c r="BC13" s="73">
        <f t="shared" si="60"/>
        <v>29.854394786046264</v>
      </c>
      <c r="BD13" s="73">
        <v>4.840412061378459</v>
      </c>
      <c r="BE13" s="87">
        <v>5.680910008889502</v>
      </c>
      <c r="BF13" s="74"/>
      <c r="BG13" s="73"/>
      <c r="BH13" s="73">
        <v>511</v>
      </c>
      <c r="BI13" s="73">
        <f t="shared" si="12"/>
        <v>3.466666666666667</v>
      </c>
      <c r="BJ13" s="73">
        <f t="shared" si="13"/>
        <v>6.5</v>
      </c>
      <c r="BK13" s="73">
        <f t="shared" si="14"/>
        <v>24.25263157894737</v>
      </c>
      <c r="BL13" s="73">
        <v>8</v>
      </c>
      <c r="BM13" s="73">
        <v>6</v>
      </c>
      <c r="BN13" s="73">
        <v>1</v>
      </c>
      <c r="BO13" s="73">
        <f t="shared" si="15"/>
        <v>6.112465944920054</v>
      </c>
      <c r="BP13" s="73">
        <f t="shared" si="16"/>
        <v>1118.1375342189872</v>
      </c>
      <c r="BQ13" s="73"/>
      <c r="BR13" s="73">
        <v>111</v>
      </c>
      <c r="BS13" s="73">
        <f t="shared" si="17"/>
        <v>3.25</v>
      </c>
      <c r="BT13" s="73">
        <f t="shared" si="18"/>
        <v>6.5</v>
      </c>
      <c r="BU13" s="73">
        <f t="shared" si="19"/>
        <v>24.25263157894737</v>
      </c>
      <c r="BV13" s="73">
        <v>8</v>
      </c>
      <c r="BW13" s="73">
        <v>6</v>
      </c>
      <c r="BX13" s="73">
        <v>1</v>
      </c>
      <c r="BY13" s="73">
        <f t="shared" si="20"/>
        <v>5.83797058794866</v>
      </c>
      <c r="BZ13" s="73">
        <f t="shared" si="21"/>
        <v>1599.5037525377295</v>
      </c>
      <c r="CA13" s="73"/>
      <c r="CB13" s="73">
        <v>122</v>
      </c>
      <c r="CC13" s="73">
        <f t="shared" si="22"/>
        <v>8.666666666666666</v>
      </c>
      <c r="CD13" s="73">
        <f t="shared" si="23"/>
        <v>2.888888888888889</v>
      </c>
      <c r="CE13" s="73">
        <f t="shared" si="24"/>
        <v>24.25263157894737</v>
      </c>
      <c r="CF13" s="73">
        <v>8</v>
      </c>
      <c r="CG13" s="73">
        <v>6</v>
      </c>
      <c r="CH13" s="73">
        <v>1</v>
      </c>
      <c r="CI13" s="73">
        <f t="shared" si="25"/>
        <v>6.576280861995148</v>
      </c>
      <c r="CJ13" s="73">
        <f t="shared" si="26"/>
        <v>1786.8307677289372</v>
      </c>
      <c r="CK13" s="73"/>
      <c r="CL13" s="73">
        <v>388</v>
      </c>
      <c r="CM13" s="73">
        <f t="shared" si="27"/>
        <v>6.5</v>
      </c>
      <c r="CN13" s="73">
        <f t="shared" si="28"/>
        <v>3.25</v>
      </c>
      <c r="CO13" s="73">
        <f t="shared" si="29"/>
        <v>24.25263157894737</v>
      </c>
      <c r="CP13" s="73">
        <v>8</v>
      </c>
      <c r="CQ13" s="73">
        <v>6</v>
      </c>
      <c r="CR13" s="73">
        <v>1</v>
      </c>
      <c r="CS13" s="73">
        <f t="shared" si="30"/>
        <v>6.4140478612345415</v>
      </c>
      <c r="CT13" s="73">
        <f t="shared" si="31"/>
        <v>1576.8521474389756</v>
      </c>
      <c r="CU13" s="73"/>
      <c r="CV13" s="73">
        <v>384</v>
      </c>
      <c r="CW13" s="73">
        <f t="shared" si="32"/>
        <v>6.5</v>
      </c>
      <c r="CX13" s="73">
        <f t="shared" si="33"/>
        <v>4</v>
      </c>
      <c r="CY13" s="73">
        <f t="shared" si="34"/>
        <v>24.25263157894737</v>
      </c>
      <c r="CZ13" s="73">
        <v>8</v>
      </c>
      <c r="DA13" s="73">
        <v>6</v>
      </c>
      <c r="DB13" s="73">
        <v>1</v>
      </c>
      <c r="DC13" s="73">
        <f t="shared" si="35"/>
        <v>7.215002348633577</v>
      </c>
      <c r="DD13" s="73">
        <f t="shared" si="36"/>
        <v>1349.786786390941</v>
      </c>
      <c r="DE13" s="73"/>
      <c r="DF13" s="73">
        <v>234</v>
      </c>
      <c r="DG13" s="73">
        <f t="shared" si="37"/>
        <v>7.428571428571429</v>
      </c>
      <c r="DH13" s="73">
        <f t="shared" si="38"/>
        <v>4.333333333333333</v>
      </c>
      <c r="DI13" s="73">
        <f t="shared" si="39"/>
        <v>24.25263157894737</v>
      </c>
      <c r="DJ13" s="73">
        <v>8</v>
      </c>
      <c r="DK13" s="73">
        <v>6</v>
      </c>
      <c r="DL13" s="73">
        <v>1</v>
      </c>
      <c r="DM13" s="73">
        <f t="shared" si="40"/>
        <v>7.991142296866454</v>
      </c>
      <c r="DN13" s="73">
        <f t="shared" si="41"/>
        <v>1761.8398308398532</v>
      </c>
      <c r="DO13" s="73"/>
      <c r="DP13" s="73">
        <v>477</v>
      </c>
      <c r="DQ13" s="73">
        <f t="shared" si="42"/>
        <v>8.666666666666666</v>
      </c>
      <c r="DR13" s="73">
        <f t="shared" si="43"/>
        <v>4.333333333333333</v>
      </c>
      <c r="DS13" s="73">
        <f t="shared" si="44"/>
        <v>24.25263157894737</v>
      </c>
      <c r="DT13" s="73">
        <v>8</v>
      </c>
      <c r="DU13" s="73">
        <v>6</v>
      </c>
      <c r="DV13" s="73">
        <v>1</v>
      </c>
      <c r="DW13" s="73">
        <f t="shared" si="45"/>
        <v>8.514533437566625</v>
      </c>
      <c r="DX13" s="73">
        <f t="shared" si="46"/>
        <v>1905.5613846474594</v>
      </c>
      <c r="DY13" s="73"/>
      <c r="DZ13" s="92">
        <v>9999</v>
      </c>
      <c r="EA13" s="73">
        <f t="shared" si="47"/>
        <v>8.666666666666666</v>
      </c>
      <c r="EB13" s="73">
        <f t="shared" si="48"/>
        <v>4.333333333333333</v>
      </c>
      <c r="EC13" s="73">
        <f t="shared" si="49"/>
        <v>24.25263157894737</v>
      </c>
      <c r="ED13" s="73">
        <v>8</v>
      </c>
      <c r="EE13" s="73">
        <v>6</v>
      </c>
      <c r="EF13" s="73">
        <v>1</v>
      </c>
      <c r="EG13" s="73">
        <f t="shared" si="50"/>
        <v>8.514533437566625</v>
      </c>
      <c r="EH13" s="73">
        <f t="shared" si="51"/>
        <v>1905.5613846474594</v>
      </c>
      <c r="EI13" s="73"/>
      <c r="EJ13" s="73">
        <v>548</v>
      </c>
      <c r="EK13" s="73">
        <f t="shared" si="52"/>
        <v>13</v>
      </c>
      <c r="EL13" s="73">
        <f t="shared" si="53"/>
        <v>4.7272727272727275</v>
      </c>
      <c r="EM13" s="73">
        <f t="shared" si="54"/>
        <v>24.25263157894737</v>
      </c>
      <c r="EN13" s="73">
        <v>8</v>
      </c>
      <c r="EO13" s="73">
        <v>6</v>
      </c>
      <c r="EP13" s="73">
        <v>1</v>
      </c>
      <c r="EQ13" s="73">
        <f t="shared" si="55"/>
        <v>10.385035452386319</v>
      </c>
      <c r="ER13" s="73">
        <f t="shared" si="56"/>
        <v>2292.095838158649</v>
      </c>
      <c r="ES13" s="73"/>
      <c r="ET13" s="73">
        <v>50</v>
      </c>
      <c r="EU13" s="73">
        <v>0</v>
      </c>
      <c r="EV13" s="73">
        <v>0</v>
      </c>
      <c r="EW13" s="73">
        <v>0</v>
      </c>
      <c r="EX13" s="73">
        <v>50</v>
      </c>
      <c r="EY13" s="73">
        <v>0</v>
      </c>
      <c r="EZ13" s="73">
        <v>0</v>
      </c>
      <c r="FA13" s="73">
        <v>0</v>
      </c>
      <c r="FB13" s="73">
        <v>0</v>
      </c>
      <c r="FC13" s="92">
        <f t="shared" si="57"/>
        <v>1204.7572697229357</v>
      </c>
    </row>
    <row r="14" spans="1:159" s="17" customFormat="1" ht="17.25">
      <c r="A14" s="71">
        <v>10</v>
      </c>
      <c r="B14" s="72" t="s">
        <v>551</v>
      </c>
      <c r="C14" s="75">
        <v>1</v>
      </c>
      <c r="D14" s="72">
        <v>2</v>
      </c>
      <c r="E14" s="75">
        <v>650</v>
      </c>
      <c r="F14" s="75">
        <v>1600</v>
      </c>
      <c r="G14" s="72">
        <f t="shared" si="0"/>
        <v>650</v>
      </c>
      <c r="H14" s="72">
        <v>64</v>
      </c>
      <c r="I14" s="72">
        <v>8</v>
      </c>
      <c r="J14" s="72">
        <v>8</v>
      </c>
      <c r="K14" s="72">
        <v>4</v>
      </c>
      <c r="L14" s="76">
        <v>5</v>
      </c>
      <c r="M14" s="72">
        <v>80</v>
      </c>
      <c r="N14" s="76">
        <v>5</v>
      </c>
      <c r="O14" s="72" t="s">
        <v>21</v>
      </c>
      <c r="P14" s="77">
        <f t="shared" si="58"/>
        <v>48.280503165347916</v>
      </c>
      <c r="Q14" s="78">
        <f t="shared" si="1"/>
        <v>462.7064403230642</v>
      </c>
      <c r="R14" s="78"/>
      <c r="S14" s="79">
        <v>1024</v>
      </c>
      <c r="T14" s="80">
        <v>7</v>
      </c>
      <c r="U14" s="80">
        <v>28</v>
      </c>
      <c r="V14" s="72" t="s">
        <v>37</v>
      </c>
      <c r="W14" s="72" t="s">
        <v>27</v>
      </c>
      <c r="X14" s="72" t="s">
        <v>28</v>
      </c>
      <c r="Y14" s="72" t="s">
        <v>40</v>
      </c>
      <c r="Z14" s="81">
        <v>6.7</v>
      </c>
      <c r="AA14" s="123" t="s">
        <v>556</v>
      </c>
      <c r="AB14" s="72">
        <v>11</v>
      </c>
      <c r="AC14" s="82">
        <v>5</v>
      </c>
      <c r="AD14" s="83">
        <v>59</v>
      </c>
      <c r="AE14" s="84">
        <v>292</v>
      </c>
      <c r="AF14" s="85">
        <v>40</v>
      </c>
      <c r="AG14" s="72"/>
      <c r="AH14" s="73"/>
      <c r="AI14" s="73">
        <f t="shared" si="61"/>
        <v>10.4</v>
      </c>
      <c r="AJ14" s="73">
        <f t="shared" si="62"/>
        <v>10.4</v>
      </c>
      <c r="AK14" s="73">
        <f t="shared" si="63"/>
        <v>2.6</v>
      </c>
      <c r="AL14" s="73">
        <f t="shared" si="64"/>
        <v>8.666666666666666</v>
      </c>
      <c r="AM14" s="73">
        <f>H14*F14/(8000+500*AC14)</f>
        <v>9.752380952380953</v>
      </c>
      <c r="AN14" s="73">
        <f>POWER(INT(MIN(C14,D14)),0.7)+LN(INT(MIN(C14,D14)))*0.23</f>
        <v>1</v>
      </c>
      <c r="AO14" s="73">
        <v>2</v>
      </c>
      <c r="AP14" s="73">
        <v>1</v>
      </c>
      <c r="AQ14" s="73">
        <v>1</v>
      </c>
      <c r="AR14" s="73">
        <v>5</v>
      </c>
      <c r="AS14" s="73">
        <v>5</v>
      </c>
      <c r="AT14" s="73">
        <v>1</v>
      </c>
      <c r="AU14" s="73">
        <v>1</v>
      </c>
      <c r="AV14" s="73">
        <v>2.8</v>
      </c>
      <c r="AW14" s="73">
        <f t="shared" si="8"/>
        <v>10.4</v>
      </c>
      <c r="AX14" s="73">
        <f t="shared" si="9"/>
        <v>6.9333333333333345</v>
      </c>
      <c r="AY14" s="73">
        <f t="shared" si="10"/>
        <v>8.32</v>
      </c>
      <c r="AZ14" s="73">
        <f t="shared" si="11"/>
        <v>8.654508126603936</v>
      </c>
      <c r="BA14" s="73">
        <f t="shared" si="59"/>
        <v>0.8654508126603937</v>
      </c>
      <c r="BB14" s="73">
        <v>0.02</v>
      </c>
      <c r="BC14" s="73">
        <f t="shared" si="60"/>
        <v>8.498726980325065</v>
      </c>
      <c r="BD14" s="73">
        <v>4.840412061378459</v>
      </c>
      <c r="BE14" s="87">
        <v>5.680910008889502</v>
      </c>
      <c r="BF14" s="74"/>
      <c r="BG14" s="73"/>
      <c r="BH14" s="73">
        <v>511</v>
      </c>
      <c r="BI14" s="73">
        <f t="shared" si="12"/>
        <v>1.7333333333333334</v>
      </c>
      <c r="BJ14" s="73">
        <f t="shared" si="13"/>
        <v>1.3</v>
      </c>
      <c r="BK14" s="73">
        <f t="shared" si="14"/>
        <v>9.752380952380953</v>
      </c>
      <c r="BL14" s="73">
        <v>8</v>
      </c>
      <c r="BM14" s="73">
        <v>6</v>
      </c>
      <c r="BN14" s="73">
        <v>1</v>
      </c>
      <c r="BO14" s="73">
        <f t="shared" si="15"/>
        <v>2.142862891866876</v>
      </c>
      <c r="BP14" s="73">
        <f t="shared" si="16"/>
        <v>458.72928728604313</v>
      </c>
      <c r="BQ14" s="73"/>
      <c r="BR14" s="73">
        <v>111</v>
      </c>
      <c r="BS14" s="73">
        <f t="shared" si="17"/>
        <v>1.625</v>
      </c>
      <c r="BT14" s="73">
        <f t="shared" si="18"/>
        <v>1.3</v>
      </c>
      <c r="BU14" s="73">
        <f t="shared" si="19"/>
        <v>9.752380952380953</v>
      </c>
      <c r="BV14" s="73">
        <v>8</v>
      </c>
      <c r="BW14" s="73">
        <v>6</v>
      </c>
      <c r="BX14" s="73">
        <v>1</v>
      </c>
      <c r="BY14" s="73">
        <f t="shared" si="20"/>
        <v>2.0744734730133003</v>
      </c>
      <c r="BZ14" s="73">
        <f t="shared" si="21"/>
        <v>611.0630558248187</v>
      </c>
      <c r="CA14" s="73"/>
      <c r="CB14" s="73">
        <v>122</v>
      </c>
      <c r="CC14" s="73">
        <f t="shared" si="22"/>
        <v>4.333333333333333</v>
      </c>
      <c r="CD14" s="73">
        <f t="shared" si="23"/>
        <v>0.5777777777777777</v>
      </c>
      <c r="CE14" s="73">
        <f t="shared" si="24"/>
        <v>9.752380952380953</v>
      </c>
      <c r="CF14" s="73">
        <v>8</v>
      </c>
      <c r="CG14" s="73">
        <v>6</v>
      </c>
      <c r="CH14" s="73">
        <v>1</v>
      </c>
      <c r="CI14" s="73">
        <f t="shared" si="25"/>
        <v>1.6216249139669023</v>
      </c>
      <c r="CJ14" s="73">
        <f t="shared" si="26"/>
        <v>485.9768406321177</v>
      </c>
      <c r="CK14" s="73"/>
      <c r="CL14" s="73">
        <v>388</v>
      </c>
      <c r="CM14" s="73">
        <f t="shared" si="27"/>
        <v>3.25</v>
      </c>
      <c r="CN14" s="73">
        <f t="shared" si="28"/>
        <v>0.65</v>
      </c>
      <c r="CO14" s="73">
        <f t="shared" si="29"/>
        <v>9.752380952380953</v>
      </c>
      <c r="CP14" s="73">
        <v>8</v>
      </c>
      <c r="CQ14" s="73">
        <v>6</v>
      </c>
      <c r="CR14" s="73">
        <v>1</v>
      </c>
      <c r="CS14" s="73">
        <f t="shared" si="30"/>
        <v>1.6956557737257425</v>
      </c>
      <c r="CT14" s="73">
        <f t="shared" si="31"/>
        <v>457.5537149783946</v>
      </c>
      <c r="CU14" s="73"/>
      <c r="CV14" s="73">
        <v>384</v>
      </c>
      <c r="CW14" s="73">
        <f t="shared" si="32"/>
        <v>3.25</v>
      </c>
      <c r="CX14" s="73">
        <f t="shared" si="33"/>
        <v>0.8</v>
      </c>
      <c r="CY14" s="73">
        <f t="shared" si="34"/>
        <v>9.752380952380953</v>
      </c>
      <c r="CZ14" s="73">
        <v>8</v>
      </c>
      <c r="DA14" s="73">
        <v>6</v>
      </c>
      <c r="DB14" s="73">
        <v>1</v>
      </c>
      <c r="DC14" s="73">
        <f t="shared" si="35"/>
        <v>1.9872660909287692</v>
      </c>
      <c r="DD14" s="73">
        <f t="shared" si="36"/>
        <v>468.90104383465183</v>
      </c>
      <c r="DE14" s="73"/>
      <c r="DF14" s="73">
        <v>234</v>
      </c>
      <c r="DG14" s="73">
        <f t="shared" si="37"/>
        <v>3.7142857142857144</v>
      </c>
      <c r="DH14" s="73">
        <f t="shared" si="38"/>
        <v>0.8666666666666667</v>
      </c>
      <c r="DI14" s="73">
        <f t="shared" si="39"/>
        <v>9.752380952380953</v>
      </c>
      <c r="DJ14" s="73">
        <v>8</v>
      </c>
      <c r="DK14" s="73">
        <v>6</v>
      </c>
      <c r="DL14" s="73">
        <v>1</v>
      </c>
      <c r="DM14" s="73">
        <f t="shared" si="40"/>
        <v>2.1787768930497475</v>
      </c>
      <c r="DN14" s="73">
        <f t="shared" si="41"/>
        <v>526.1118064785692</v>
      </c>
      <c r="DO14" s="73"/>
      <c r="DP14" s="73">
        <v>477</v>
      </c>
      <c r="DQ14" s="73">
        <f t="shared" si="42"/>
        <v>4.333333333333333</v>
      </c>
      <c r="DR14" s="73">
        <f t="shared" si="43"/>
        <v>0.8666666666666667</v>
      </c>
      <c r="DS14" s="73">
        <f t="shared" si="44"/>
        <v>9.752380952380953</v>
      </c>
      <c r="DT14" s="73">
        <v>8</v>
      </c>
      <c r="DU14" s="73">
        <v>6</v>
      </c>
      <c r="DV14" s="73">
        <v>1</v>
      </c>
      <c r="DW14" s="73">
        <f t="shared" si="45"/>
        <v>2.2543416228482402</v>
      </c>
      <c r="DX14" s="73">
        <f t="shared" si="46"/>
        <v>553.709145293098</v>
      </c>
      <c r="DY14" s="73"/>
      <c r="DZ14" s="92">
        <v>9999</v>
      </c>
      <c r="EA14" s="73">
        <f t="shared" si="47"/>
        <v>4.333333333333333</v>
      </c>
      <c r="EB14" s="73">
        <f t="shared" si="48"/>
        <v>0.8666666666666667</v>
      </c>
      <c r="EC14" s="73">
        <f t="shared" si="49"/>
        <v>9.752380952380953</v>
      </c>
      <c r="ED14" s="73">
        <v>8</v>
      </c>
      <c r="EE14" s="73">
        <v>6</v>
      </c>
      <c r="EF14" s="73">
        <v>1</v>
      </c>
      <c r="EG14" s="73">
        <f t="shared" si="50"/>
        <v>2.2543416228482402</v>
      </c>
      <c r="EH14" s="73">
        <f t="shared" si="51"/>
        <v>553.709145293098</v>
      </c>
      <c r="EI14" s="73"/>
      <c r="EJ14" s="73">
        <v>548</v>
      </c>
      <c r="EK14" s="73">
        <f t="shared" si="52"/>
        <v>6.5</v>
      </c>
      <c r="EL14" s="73">
        <f t="shared" si="53"/>
        <v>0.9454545454545454</v>
      </c>
      <c r="EM14" s="73">
        <f t="shared" si="54"/>
        <v>9.752380952380953</v>
      </c>
      <c r="EN14" s="73">
        <v>8</v>
      </c>
      <c r="EO14" s="73">
        <v>6</v>
      </c>
      <c r="EP14" s="73">
        <v>1</v>
      </c>
      <c r="EQ14" s="73">
        <f t="shared" si="55"/>
        <v>2.604349059464535</v>
      </c>
      <c r="ER14" s="73">
        <f t="shared" si="56"/>
        <v>633.2476642715595</v>
      </c>
      <c r="ES14" s="73"/>
      <c r="ET14" s="73">
        <v>50</v>
      </c>
      <c r="EU14" s="73">
        <v>0</v>
      </c>
      <c r="EV14" s="73">
        <v>0</v>
      </c>
      <c r="EW14" s="73">
        <v>0</v>
      </c>
      <c r="EX14" s="73">
        <v>50</v>
      </c>
      <c r="EY14" s="73">
        <v>0</v>
      </c>
      <c r="EZ14" s="73">
        <v>0</v>
      </c>
      <c r="FA14" s="73">
        <v>0</v>
      </c>
      <c r="FB14" s="73">
        <v>0</v>
      </c>
      <c r="FC14" s="92">
        <f t="shared" si="57"/>
        <v>462.7064403230642</v>
      </c>
    </row>
    <row r="15" spans="1:159" s="17" customFormat="1" ht="17.25">
      <c r="A15" s="71">
        <v>11</v>
      </c>
      <c r="B15" s="72" t="s">
        <v>427</v>
      </c>
      <c r="C15" s="75">
        <v>2</v>
      </c>
      <c r="D15" s="72">
        <v>4</v>
      </c>
      <c r="E15" s="75">
        <v>750</v>
      </c>
      <c r="F15" s="75">
        <v>3600</v>
      </c>
      <c r="G15" s="72">
        <f t="shared" si="0"/>
        <v>750</v>
      </c>
      <c r="H15" s="72">
        <v>256</v>
      </c>
      <c r="I15" s="72">
        <v>40</v>
      </c>
      <c r="J15" s="72">
        <f>I15</f>
        <v>40</v>
      </c>
      <c r="K15" s="72">
        <v>16</v>
      </c>
      <c r="L15" s="72" t="s">
        <v>25</v>
      </c>
      <c r="M15" s="72">
        <f>J15*20</f>
        <v>800</v>
      </c>
      <c r="N15" s="72" t="s">
        <v>25</v>
      </c>
      <c r="O15" s="72" t="s">
        <v>21</v>
      </c>
      <c r="P15" s="77">
        <f t="shared" si="58"/>
        <v>703.6159301203784</v>
      </c>
      <c r="Q15" s="78">
        <f t="shared" si="1"/>
        <v>6175.421753467373</v>
      </c>
      <c r="R15" s="78"/>
      <c r="S15" s="89">
        <v>1024</v>
      </c>
      <c r="T15" s="90">
        <v>75</v>
      </c>
      <c r="U15" s="90">
        <v>375</v>
      </c>
      <c r="V15" s="72" t="s">
        <v>37</v>
      </c>
      <c r="W15" s="72" t="s">
        <v>29</v>
      </c>
      <c r="X15" s="14" t="s">
        <v>428</v>
      </c>
      <c r="Y15" s="72" t="s">
        <v>40</v>
      </c>
      <c r="Z15" s="81">
        <v>10.5</v>
      </c>
      <c r="AA15" s="124" t="s">
        <v>559</v>
      </c>
      <c r="AB15" s="72">
        <v>10.1</v>
      </c>
      <c r="AC15" s="82">
        <v>5</v>
      </c>
      <c r="AD15" s="83">
        <v>260</v>
      </c>
      <c r="AE15" s="84">
        <f>956*C15</f>
        <v>1912</v>
      </c>
      <c r="AF15" s="85">
        <v>55</v>
      </c>
      <c r="AG15" s="72"/>
      <c r="AH15" s="73"/>
      <c r="AI15" s="87">
        <f t="shared" si="61"/>
        <v>60</v>
      </c>
      <c r="AJ15" s="91">
        <f t="shared" si="62"/>
        <v>60</v>
      </c>
      <c r="AK15" s="91">
        <f t="shared" si="63"/>
        <v>12</v>
      </c>
      <c r="AL15" s="87">
        <f t="shared" si="64"/>
        <v>100</v>
      </c>
      <c r="AM15" s="92">
        <f aca="true" t="shared" si="65" ref="AM15:AM28">H15*F15/(8750+250*AC15)</f>
        <v>92.16</v>
      </c>
      <c r="AN15" s="73">
        <f>POWER(INT(MIN(C15,D15)),0.55)+LN(INT(MIN(C15,D15)))*0.15</f>
        <v>1.5680577730296172</v>
      </c>
      <c r="AO15" s="87">
        <v>2</v>
      </c>
      <c r="AP15" s="87">
        <v>1</v>
      </c>
      <c r="AQ15" s="87">
        <v>1</v>
      </c>
      <c r="AR15" s="87">
        <v>5</v>
      </c>
      <c r="AS15" s="87">
        <v>5</v>
      </c>
      <c r="AT15" s="87">
        <v>1</v>
      </c>
      <c r="AU15" s="87">
        <v>1</v>
      </c>
      <c r="AV15" s="87">
        <v>2.8</v>
      </c>
      <c r="AW15" s="87">
        <f t="shared" si="8"/>
        <v>60</v>
      </c>
      <c r="AX15" s="87">
        <f t="shared" si="9"/>
        <v>36</v>
      </c>
      <c r="AY15" s="91">
        <f t="shared" si="10"/>
        <v>77.14285714285714</v>
      </c>
      <c r="AZ15" s="91">
        <f t="shared" si="11"/>
        <v>126.38387824747365</v>
      </c>
      <c r="BA15" s="91"/>
      <c r="BB15" s="73">
        <v>0.02</v>
      </c>
      <c r="BC15" s="73">
        <f t="shared" si="60"/>
        <v>123.85620068252418</v>
      </c>
      <c r="BD15" s="73">
        <v>4.840412061378459</v>
      </c>
      <c r="BE15" s="87">
        <v>5.680910008889502</v>
      </c>
      <c r="BF15" s="74"/>
      <c r="BG15" s="73"/>
      <c r="BH15" s="92">
        <v>511</v>
      </c>
      <c r="BI15" s="92">
        <f t="shared" si="12"/>
        <v>8</v>
      </c>
      <c r="BJ15" s="87">
        <f t="shared" si="13"/>
        <v>15</v>
      </c>
      <c r="BK15" s="87">
        <f t="shared" si="14"/>
        <v>92.16</v>
      </c>
      <c r="BL15" s="87">
        <v>8</v>
      </c>
      <c r="BM15" s="87">
        <v>6</v>
      </c>
      <c r="BN15" s="87">
        <v>1</v>
      </c>
      <c r="BO15" s="93">
        <f t="shared" si="15"/>
        <v>14.175844459484404</v>
      </c>
      <c r="BP15" s="73">
        <f aca="true" t="shared" si="66" ref="BP15:BP52">POWER(BO15,0.95)*230</f>
        <v>2855.6128556847116</v>
      </c>
      <c r="BQ15" s="73"/>
      <c r="BR15" s="92">
        <v>111</v>
      </c>
      <c r="BS15" s="92">
        <f t="shared" si="17"/>
        <v>7.5</v>
      </c>
      <c r="BT15" s="87">
        <f t="shared" si="18"/>
        <v>15</v>
      </c>
      <c r="BU15" s="92">
        <f t="shared" si="19"/>
        <v>92.16</v>
      </c>
      <c r="BV15" s="87">
        <v>8</v>
      </c>
      <c r="BW15" s="87">
        <v>6</v>
      </c>
      <c r="BX15" s="87">
        <v>1</v>
      </c>
      <c r="BY15" s="93">
        <f t="shared" si="20"/>
        <v>13.536219963574407</v>
      </c>
      <c r="BZ15" s="92">
        <f t="shared" si="21"/>
        <v>3496.6670304708864</v>
      </c>
      <c r="CA15" s="73"/>
      <c r="CB15" s="92">
        <v>122</v>
      </c>
      <c r="CC15" s="92">
        <f t="shared" si="22"/>
        <v>20</v>
      </c>
      <c r="CD15" s="87">
        <f t="shared" si="23"/>
        <v>6.666666666666667</v>
      </c>
      <c r="CE15" s="92">
        <f t="shared" si="24"/>
        <v>92.16</v>
      </c>
      <c r="CF15" s="87">
        <v>8</v>
      </c>
      <c r="CG15" s="87">
        <v>6</v>
      </c>
      <c r="CH15" s="87">
        <v>1</v>
      </c>
      <c r="CI15" s="93">
        <f t="shared" si="25"/>
        <v>15.257267730613869</v>
      </c>
      <c r="CJ15" s="92">
        <f t="shared" si="26"/>
        <v>3908.364746762765</v>
      </c>
      <c r="CK15" s="73"/>
      <c r="CL15" s="92">
        <v>388</v>
      </c>
      <c r="CM15" s="92">
        <f t="shared" si="27"/>
        <v>15</v>
      </c>
      <c r="CN15" s="92">
        <f t="shared" si="28"/>
        <v>7.5</v>
      </c>
      <c r="CO15" s="92">
        <f t="shared" si="29"/>
        <v>92.16</v>
      </c>
      <c r="CP15" s="92">
        <v>8</v>
      </c>
      <c r="CQ15" s="92">
        <v>6</v>
      </c>
      <c r="CR15" s="92">
        <v>1</v>
      </c>
      <c r="CS15" s="92">
        <f t="shared" si="30"/>
        <v>14.878915079108813</v>
      </c>
      <c r="CT15" s="92">
        <f t="shared" si="31"/>
        <v>3448.651487713461</v>
      </c>
      <c r="CU15" s="73"/>
      <c r="CV15" s="92">
        <v>384</v>
      </c>
      <c r="CW15" s="92">
        <f t="shared" si="32"/>
        <v>15</v>
      </c>
      <c r="CX15" s="92">
        <f t="shared" si="33"/>
        <v>9.23076923076923</v>
      </c>
      <c r="CY15" s="92">
        <f t="shared" si="34"/>
        <v>92.16</v>
      </c>
      <c r="CZ15" s="92">
        <v>8</v>
      </c>
      <c r="DA15" s="92">
        <v>6</v>
      </c>
      <c r="DB15" s="92">
        <v>1</v>
      </c>
      <c r="DC15" s="92">
        <f t="shared" si="35"/>
        <v>16.747837464563496</v>
      </c>
      <c r="DD15" s="92">
        <f aca="true" t="shared" si="67" ref="DD15:DD52">POWER(DC15,0.93)*255</f>
        <v>3506.0798780592722</v>
      </c>
      <c r="DE15" s="73"/>
      <c r="DF15" s="92">
        <v>234</v>
      </c>
      <c r="DG15" s="92">
        <f t="shared" si="37"/>
        <v>17.142857142857142</v>
      </c>
      <c r="DH15" s="92">
        <f t="shared" si="38"/>
        <v>10</v>
      </c>
      <c r="DI15" s="92">
        <f t="shared" si="39"/>
        <v>92.16</v>
      </c>
      <c r="DJ15" s="92">
        <v>8</v>
      </c>
      <c r="DK15" s="92">
        <v>6</v>
      </c>
      <c r="DL15" s="92">
        <v>1</v>
      </c>
      <c r="DM15" s="92">
        <f t="shared" si="40"/>
        <v>18.561185853540643</v>
      </c>
      <c r="DN15" s="92">
        <f t="shared" si="41"/>
        <v>3857.8336724761057</v>
      </c>
      <c r="DO15" s="73"/>
      <c r="DP15" s="92">
        <v>477</v>
      </c>
      <c r="DQ15" s="92">
        <f t="shared" si="42"/>
        <v>20</v>
      </c>
      <c r="DR15" s="92">
        <f t="shared" si="43"/>
        <v>10</v>
      </c>
      <c r="DS15" s="92">
        <f t="shared" si="44"/>
        <v>92.16</v>
      </c>
      <c r="DT15" s="92">
        <v>8</v>
      </c>
      <c r="DU15" s="92">
        <v>6</v>
      </c>
      <c r="DV15" s="92">
        <v>1</v>
      </c>
      <c r="DW15" s="92">
        <f t="shared" si="45"/>
        <v>19.78531558608845</v>
      </c>
      <c r="DX15" s="92">
        <f t="shared" si="46"/>
        <v>4174.191036162775</v>
      </c>
      <c r="DY15" s="73"/>
      <c r="DZ15" s="92">
        <v>9999</v>
      </c>
      <c r="EA15" s="73">
        <f t="shared" si="47"/>
        <v>20</v>
      </c>
      <c r="EB15" s="73">
        <f t="shared" si="48"/>
        <v>10</v>
      </c>
      <c r="EC15" s="73">
        <f t="shared" si="49"/>
        <v>92.16</v>
      </c>
      <c r="ED15" s="92">
        <v>8</v>
      </c>
      <c r="EE15" s="92">
        <v>6</v>
      </c>
      <c r="EF15" s="92">
        <v>1</v>
      </c>
      <c r="EG15" s="92">
        <f t="shared" si="50"/>
        <v>19.78531558608845</v>
      </c>
      <c r="EH15" s="92">
        <f t="shared" si="51"/>
        <v>4174.191036162775</v>
      </c>
      <c r="EI15" s="73"/>
      <c r="EJ15" s="92">
        <v>548</v>
      </c>
      <c r="EK15" s="92">
        <f t="shared" si="52"/>
        <v>30</v>
      </c>
      <c r="EL15" s="92">
        <f t="shared" si="53"/>
        <v>10.909090909090908</v>
      </c>
      <c r="EM15" s="92">
        <f t="shared" si="54"/>
        <v>92.16</v>
      </c>
      <c r="EN15" s="92">
        <v>8</v>
      </c>
      <c r="EO15" s="92">
        <v>6</v>
      </c>
      <c r="EP15" s="92">
        <v>1</v>
      </c>
      <c r="EQ15" s="92">
        <f t="shared" si="55"/>
        <v>24.16867722647645</v>
      </c>
      <c r="ER15" s="92">
        <f t="shared" si="56"/>
        <v>5028.037730474618</v>
      </c>
      <c r="ES15" s="73"/>
      <c r="ET15" s="73">
        <v>50</v>
      </c>
      <c r="EU15" s="73">
        <v>0</v>
      </c>
      <c r="EV15" s="73">
        <v>0</v>
      </c>
      <c r="EW15" s="73">
        <v>0</v>
      </c>
      <c r="EX15" s="73">
        <v>50</v>
      </c>
      <c r="EY15" s="73">
        <v>0</v>
      </c>
      <c r="EZ15" s="73">
        <v>0</v>
      </c>
      <c r="FA15" s="73">
        <v>0</v>
      </c>
      <c r="FB15" s="73">
        <v>0</v>
      </c>
      <c r="FC15" s="92">
        <f t="shared" si="57"/>
        <v>3087.7108767336863</v>
      </c>
    </row>
    <row r="16" spans="1:159" s="17" customFormat="1" ht="17.25">
      <c r="A16" s="71">
        <v>12</v>
      </c>
      <c r="B16" s="72" t="s">
        <v>50</v>
      </c>
      <c r="C16" s="75">
        <v>2</v>
      </c>
      <c r="D16" s="72">
        <v>4</v>
      </c>
      <c r="E16" s="75">
        <v>625</v>
      </c>
      <c r="F16" s="75">
        <v>2000</v>
      </c>
      <c r="G16" s="72">
        <f t="shared" si="0"/>
        <v>625</v>
      </c>
      <c r="H16" s="72">
        <v>256</v>
      </c>
      <c r="I16" s="72">
        <v>40</v>
      </c>
      <c r="J16" s="72">
        <f>I16</f>
        <v>40</v>
      </c>
      <c r="K16" s="72">
        <v>16</v>
      </c>
      <c r="L16" s="72" t="s">
        <v>25</v>
      </c>
      <c r="M16" s="72">
        <f>J16*20</f>
        <v>800</v>
      </c>
      <c r="N16" s="72" t="s">
        <v>25</v>
      </c>
      <c r="O16" s="72" t="s">
        <v>21</v>
      </c>
      <c r="P16" s="77">
        <f t="shared" si="58"/>
        <v>534.1047162341754</v>
      </c>
      <c r="Q16" s="78">
        <f t="shared" si="1"/>
        <v>5187.443252784088</v>
      </c>
      <c r="R16" s="78"/>
      <c r="S16" s="89">
        <v>512</v>
      </c>
      <c r="T16" s="90" t="s">
        <v>77</v>
      </c>
      <c r="U16" s="90">
        <v>280</v>
      </c>
      <c r="V16" s="72" t="s">
        <v>37</v>
      </c>
      <c r="W16" s="72" t="s">
        <v>29</v>
      </c>
      <c r="X16" s="14" t="s">
        <v>428</v>
      </c>
      <c r="Y16" s="72" t="s">
        <v>40</v>
      </c>
      <c r="Z16" s="81">
        <v>10.5</v>
      </c>
      <c r="AA16" s="124" t="s">
        <v>559</v>
      </c>
      <c r="AB16" s="72">
        <v>10.1</v>
      </c>
      <c r="AC16" s="82">
        <v>3</v>
      </c>
      <c r="AD16" s="83">
        <v>260</v>
      </c>
      <c r="AE16" s="84">
        <f>956*C16</f>
        <v>1912</v>
      </c>
      <c r="AF16" s="85">
        <v>55</v>
      </c>
      <c r="AG16" s="72"/>
      <c r="AH16" s="73"/>
      <c r="AI16" s="87">
        <f t="shared" si="61"/>
        <v>50</v>
      </c>
      <c r="AJ16" s="91">
        <f t="shared" si="62"/>
        <v>50</v>
      </c>
      <c r="AK16" s="87">
        <f t="shared" si="63"/>
        <v>10</v>
      </c>
      <c r="AL16" s="87">
        <f t="shared" si="64"/>
        <v>83.33333333333333</v>
      </c>
      <c r="AM16" s="92">
        <f t="shared" si="65"/>
        <v>53.89473684210526</v>
      </c>
      <c r="AN16" s="73">
        <f>POWER(INT(MIN(C16,D16)),0.55)+LN(INT(MIN(C16,D16)))*0.15</f>
        <v>1.5680577730296172</v>
      </c>
      <c r="AO16" s="87">
        <v>2</v>
      </c>
      <c r="AP16" s="87">
        <v>1</v>
      </c>
      <c r="AQ16" s="87">
        <v>1</v>
      </c>
      <c r="AR16" s="87">
        <v>5</v>
      </c>
      <c r="AS16" s="87">
        <v>5</v>
      </c>
      <c r="AT16" s="87">
        <v>1</v>
      </c>
      <c r="AU16" s="87">
        <v>1</v>
      </c>
      <c r="AV16" s="87">
        <v>2.8</v>
      </c>
      <c r="AW16" s="87">
        <f t="shared" si="8"/>
        <v>50</v>
      </c>
      <c r="AX16" s="87">
        <f t="shared" si="9"/>
        <v>30</v>
      </c>
      <c r="AY16" s="87">
        <f t="shared" si="10"/>
        <v>64.28571428571429</v>
      </c>
      <c r="AZ16" s="87">
        <f t="shared" si="11"/>
        <v>95.93618128627764</v>
      </c>
      <c r="BA16" s="87"/>
      <c r="BB16" s="73">
        <v>0.02</v>
      </c>
      <c r="BC16" s="73">
        <f t="shared" si="60"/>
        <v>94.0174576605521</v>
      </c>
      <c r="BD16" s="73">
        <v>4.840412061378459</v>
      </c>
      <c r="BE16" s="87">
        <v>5.680910008889502</v>
      </c>
      <c r="BF16" s="73"/>
      <c r="BG16" s="73"/>
      <c r="BH16" s="92">
        <v>511</v>
      </c>
      <c r="BI16" s="92">
        <f t="shared" si="12"/>
        <v>6.666666666666667</v>
      </c>
      <c r="BJ16" s="87">
        <f t="shared" si="13"/>
        <v>12.5</v>
      </c>
      <c r="BK16" s="87">
        <f t="shared" si="14"/>
        <v>53.89473684210526</v>
      </c>
      <c r="BL16" s="87">
        <v>8</v>
      </c>
      <c r="BM16" s="87">
        <v>6</v>
      </c>
      <c r="BN16" s="87">
        <v>1</v>
      </c>
      <c r="BO16" s="93">
        <f t="shared" si="15"/>
        <v>11.774716555895408</v>
      </c>
      <c r="BP16" s="73">
        <f t="shared" si="66"/>
        <v>2394.036538310103</v>
      </c>
      <c r="BQ16" s="73"/>
      <c r="BR16" s="92">
        <v>111</v>
      </c>
      <c r="BS16" s="92">
        <f t="shared" si="17"/>
        <v>6.25</v>
      </c>
      <c r="BT16" s="87">
        <f t="shared" si="18"/>
        <v>12.5</v>
      </c>
      <c r="BU16" s="92">
        <f t="shared" si="19"/>
        <v>53.89473684210526</v>
      </c>
      <c r="BV16" s="87">
        <v>8</v>
      </c>
      <c r="BW16" s="87">
        <v>6</v>
      </c>
      <c r="BX16" s="87">
        <v>1</v>
      </c>
      <c r="BY16" s="93">
        <f t="shared" si="20"/>
        <v>11.245085765742022</v>
      </c>
      <c r="BZ16" s="92">
        <f t="shared" si="21"/>
        <v>2942.7750950331</v>
      </c>
      <c r="CA16" s="73"/>
      <c r="CB16" s="92">
        <v>122</v>
      </c>
      <c r="CC16" s="92">
        <f t="shared" si="22"/>
        <v>16.666666666666668</v>
      </c>
      <c r="CD16" s="87">
        <f t="shared" si="23"/>
        <v>5.555555555555555</v>
      </c>
      <c r="CE16" s="92">
        <f t="shared" si="24"/>
        <v>53.89473684210526</v>
      </c>
      <c r="CF16" s="87">
        <v>8</v>
      </c>
      <c r="CG16" s="87">
        <v>6</v>
      </c>
      <c r="CH16" s="87">
        <v>1</v>
      </c>
      <c r="CI16" s="93">
        <f t="shared" si="25"/>
        <v>12.66981762391428</v>
      </c>
      <c r="CJ16" s="92">
        <f t="shared" si="26"/>
        <v>3288.047871047867</v>
      </c>
      <c r="CK16" s="73"/>
      <c r="CL16" s="92">
        <v>388</v>
      </c>
      <c r="CM16" s="92">
        <f t="shared" si="27"/>
        <v>12.5</v>
      </c>
      <c r="CN16" s="92">
        <f t="shared" si="28"/>
        <v>6.25</v>
      </c>
      <c r="CO16" s="92">
        <f t="shared" si="29"/>
        <v>53.89473684210526</v>
      </c>
      <c r="CP16" s="92">
        <v>8</v>
      </c>
      <c r="CQ16" s="92">
        <v>6</v>
      </c>
      <c r="CR16" s="92">
        <v>1</v>
      </c>
      <c r="CS16" s="92">
        <f t="shared" si="30"/>
        <v>12.356703270182212</v>
      </c>
      <c r="CT16" s="92">
        <f t="shared" si="31"/>
        <v>2901.5326766605303</v>
      </c>
      <c r="CU16" s="73"/>
      <c r="CV16" s="92">
        <v>384</v>
      </c>
      <c r="CW16" s="92">
        <f t="shared" si="32"/>
        <v>12.5</v>
      </c>
      <c r="CX16" s="92">
        <f t="shared" si="33"/>
        <v>7.6923076923076925</v>
      </c>
      <c r="CY16" s="92">
        <f t="shared" si="34"/>
        <v>53.89473684210526</v>
      </c>
      <c r="CZ16" s="92">
        <v>8</v>
      </c>
      <c r="DA16" s="92">
        <v>6</v>
      </c>
      <c r="DB16" s="92">
        <v>1</v>
      </c>
      <c r="DC16" s="92">
        <f t="shared" si="35"/>
        <v>13.902843022782198</v>
      </c>
      <c r="DD16" s="92">
        <f t="shared" si="67"/>
        <v>2948.672546040524</v>
      </c>
      <c r="DE16" s="73"/>
      <c r="DF16" s="92">
        <v>234</v>
      </c>
      <c r="DG16" s="92">
        <f t="shared" si="37"/>
        <v>14.285714285714286</v>
      </c>
      <c r="DH16" s="92">
        <f t="shared" si="38"/>
        <v>8.333333333333334</v>
      </c>
      <c r="DI16" s="92">
        <f t="shared" si="39"/>
        <v>53.89473684210526</v>
      </c>
      <c r="DJ16" s="92">
        <v>8</v>
      </c>
      <c r="DK16" s="92">
        <v>6</v>
      </c>
      <c r="DL16" s="92">
        <v>1</v>
      </c>
      <c r="DM16" s="92">
        <f t="shared" si="40"/>
        <v>15.401738711909276</v>
      </c>
      <c r="DN16" s="92">
        <f t="shared" si="41"/>
        <v>3243.247180563923</v>
      </c>
      <c r="DO16" s="73"/>
      <c r="DP16" s="92">
        <v>477</v>
      </c>
      <c r="DQ16" s="92">
        <f t="shared" si="42"/>
        <v>16.666666666666668</v>
      </c>
      <c r="DR16" s="92">
        <f t="shared" si="43"/>
        <v>8.333333333333334</v>
      </c>
      <c r="DS16" s="92">
        <f t="shared" si="44"/>
        <v>53.89473684210526</v>
      </c>
      <c r="DT16" s="92">
        <v>8</v>
      </c>
      <c r="DU16" s="92">
        <v>6</v>
      </c>
      <c r="DV16" s="92">
        <v>1</v>
      </c>
      <c r="DW16" s="92">
        <f t="shared" si="45"/>
        <v>16.412886680557783</v>
      </c>
      <c r="DX16" s="92">
        <f t="shared" si="46"/>
        <v>3508.2890747470974</v>
      </c>
      <c r="DY16" s="73"/>
      <c r="DZ16" s="92">
        <v>9999</v>
      </c>
      <c r="EA16" s="73">
        <f t="shared" si="47"/>
        <v>16.666666666666668</v>
      </c>
      <c r="EB16" s="73">
        <f t="shared" si="48"/>
        <v>8.333333333333334</v>
      </c>
      <c r="EC16" s="73">
        <f t="shared" si="49"/>
        <v>53.89473684210526</v>
      </c>
      <c r="ED16" s="92">
        <v>8</v>
      </c>
      <c r="EE16" s="92">
        <v>6</v>
      </c>
      <c r="EF16" s="92">
        <v>1</v>
      </c>
      <c r="EG16" s="92">
        <f t="shared" si="50"/>
        <v>16.412886680557783</v>
      </c>
      <c r="EH16" s="92">
        <f t="shared" si="51"/>
        <v>3508.2890747470974</v>
      </c>
      <c r="EI16" s="73"/>
      <c r="EJ16" s="92">
        <v>548</v>
      </c>
      <c r="EK16" s="92">
        <f t="shared" si="52"/>
        <v>25</v>
      </c>
      <c r="EL16" s="92">
        <f t="shared" si="53"/>
        <v>9.090909090909092</v>
      </c>
      <c r="EM16" s="92">
        <f t="shared" si="54"/>
        <v>53.89473684210526</v>
      </c>
      <c r="EN16" s="92">
        <v>8</v>
      </c>
      <c r="EO16" s="92">
        <v>6</v>
      </c>
      <c r="EP16" s="92">
        <v>1</v>
      </c>
      <c r="EQ16" s="92">
        <f t="shared" si="55"/>
        <v>20.028948089034934</v>
      </c>
      <c r="ER16" s="92">
        <f t="shared" si="56"/>
        <v>4221.972683436156</v>
      </c>
      <c r="ES16" s="73"/>
      <c r="ET16" s="73">
        <v>50</v>
      </c>
      <c r="EU16" s="73">
        <v>0</v>
      </c>
      <c r="EV16" s="73">
        <v>0</v>
      </c>
      <c r="EW16" s="73">
        <v>0</v>
      </c>
      <c r="EX16" s="73">
        <v>50</v>
      </c>
      <c r="EY16" s="73">
        <v>0</v>
      </c>
      <c r="EZ16" s="73">
        <v>0</v>
      </c>
      <c r="FA16" s="73">
        <v>0</v>
      </c>
      <c r="FB16" s="73">
        <v>0</v>
      </c>
      <c r="FC16" s="92">
        <f t="shared" si="57"/>
        <v>2593.721626392044</v>
      </c>
    </row>
    <row r="17" spans="1:159" s="17" customFormat="1" ht="17.25">
      <c r="A17" s="71">
        <v>13</v>
      </c>
      <c r="B17" s="72" t="s">
        <v>294</v>
      </c>
      <c r="C17" s="75">
        <v>1</v>
      </c>
      <c r="D17" s="72">
        <v>4</v>
      </c>
      <c r="E17" s="75">
        <v>850</v>
      </c>
      <c r="F17" s="75">
        <f>975*4</f>
        <v>3900</v>
      </c>
      <c r="G17" s="72">
        <f t="shared" si="0"/>
        <v>850</v>
      </c>
      <c r="H17" s="72">
        <v>256</v>
      </c>
      <c r="I17" s="72">
        <v>40</v>
      </c>
      <c r="J17" s="72">
        <v>40</v>
      </c>
      <c r="K17" s="72">
        <v>16</v>
      </c>
      <c r="L17" s="72" t="s">
        <v>25</v>
      </c>
      <c r="M17" s="72">
        <v>800</v>
      </c>
      <c r="N17" s="72" t="s">
        <v>25</v>
      </c>
      <c r="O17" s="72" t="s">
        <v>21</v>
      </c>
      <c r="P17" s="77">
        <f t="shared" si="58"/>
        <v>503.20212203570975</v>
      </c>
      <c r="Q17" s="78">
        <f t="shared" si="1"/>
        <v>3470.9517522371675</v>
      </c>
      <c r="R17" s="78"/>
      <c r="S17" s="79">
        <v>1024</v>
      </c>
      <c r="T17" s="90">
        <v>60</v>
      </c>
      <c r="U17" s="90">
        <v>210</v>
      </c>
      <c r="V17" s="72" t="s">
        <v>37</v>
      </c>
      <c r="W17" s="94" t="s">
        <v>38</v>
      </c>
      <c r="X17" s="14" t="s">
        <v>41</v>
      </c>
      <c r="Y17" s="72" t="s">
        <v>40</v>
      </c>
      <c r="Z17" s="81">
        <v>9.2</v>
      </c>
      <c r="AA17" s="124" t="s">
        <v>559</v>
      </c>
      <c r="AB17" s="72">
        <v>10.1</v>
      </c>
      <c r="AC17" s="82">
        <v>5</v>
      </c>
      <c r="AD17" s="83">
        <v>282</v>
      </c>
      <c r="AE17" s="84">
        <v>959</v>
      </c>
      <c r="AF17" s="85" t="s">
        <v>285</v>
      </c>
      <c r="AG17" s="72"/>
      <c r="AH17" s="73"/>
      <c r="AI17" s="73">
        <f t="shared" si="61"/>
        <v>68</v>
      </c>
      <c r="AJ17" s="73">
        <f t="shared" si="62"/>
        <v>68</v>
      </c>
      <c r="AK17" s="73">
        <f t="shared" si="63"/>
        <v>13.6</v>
      </c>
      <c r="AL17" s="73">
        <f t="shared" si="64"/>
        <v>113.33333333333333</v>
      </c>
      <c r="AM17" s="92">
        <f t="shared" si="65"/>
        <v>99.84</v>
      </c>
      <c r="AN17" s="73">
        <f aca="true" t="shared" si="68" ref="AN17:AN30">POWER(INT(MIN(C17,D17)),0.7)+LN(INT(MIN(C17,D17)))*0.23</f>
        <v>1</v>
      </c>
      <c r="AO17" s="73">
        <v>2</v>
      </c>
      <c r="AP17" s="73">
        <v>1</v>
      </c>
      <c r="AQ17" s="73">
        <v>1</v>
      </c>
      <c r="AR17" s="73">
        <v>5</v>
      </c>
      <c r="AS17" s="73">
        <v>5</v>
      </c>
      <c r="AT17" s="73">
        <v>1</v>
      </c>
      <c r="AU17" s="73">
        <v>1</v>
      </c>
      <c r="AV17" s="73">
        <v>2.8</v>
      </c>
      <c r="AW17" s="73">
        <f t="shared" si="8"/>
        <v>68</v>
      </c>
      <c r="AX17" s="73">
        <f t="shared" si="9"/>
        <v>40.800000000000004</v>
      </c>
      <c r="AY17" s="73">
        <f t="shared" si="10"/>
        <v>87.42857142857142</v>
      </c>
      <c r="AZ17" s="73">
        <f t="shared" si="11"/>
        <v>90.38544041257148</v>
      </c>
      <c r="BA17" s="73"/>
      <c r="BB17" s="73">
        <v>0.02</v>
      </c>
      <c r="BC17" s="73">
        <f t="shared" si="60"/>
        <v>88.57773160432005</v>
      </c>
      <c r="BD17" s="73">
        <v>4.840412061378459</v>
      </c>
      <c r="BE17" s="87">
        <v>5.680910008889502</v>
      </c>
      <c r="BF17" s="73"/>
      <c r="BG17" s="73"/>
      <c r="BH17" s="73">
        <v>511</v>
      </c>
      <c r="BI17" s="73">
        <f t="shared" si="12"/>
        <v>9.066666666666666</v>
      </c>
      <c r="BJ17" s="87">
        <f t="shared" si="13"/>
        <v>17</v>
      </c>
      <c r="BK17" s="73">
        <f t="shared" si="14"/>
        <v>99.84</v>
      </c>
      <c r="BL17" s="73">
        <v>8</v>
      </c>
      <c r="BM17" s="73">
        <v>6</v>
      </c>
      <c r="BN17" s="73">
        <v>1</v>
      </c>
      <c r="BO17" s="73">
        <f t="shared" si="15"/>
        <v>16.06025624041937</v>
      </c>
      <c r="BP17" s="73">
        <f t="shared" si="66"/>
        <v>3215.0866539624776</v>
      </c>
      <c r="BQ17" s="73"/>
      <c r="BR17" s="73">
        <v>111</v>
      </c>
      <c r="BS17" s="73">
        <f t="shared" si="17"/>
        <v>8.5</v>
      </c>
      <c r="BT17" s="73">
        <f t="shared" si="18"/>
        <v>17</v>
      </c>
      <c r="BU17" s="73">
        <f t="shared" si="19"/>
        <v>99.84</v>
      </c>
      <c r="BV17" s="73">
        <v>8</v>
      </c>
      <c r="BW17" s="73">
        <v>6</v>
      </c>
      <c r="BX17" s="73">
        <v>1</v>
      </c>
      <c r="BY17" s="73">
        <f t="shared" si="20"/>
        <v>15.335851238773335</v>
      </c>
      <c r="BZ17" s="73">
        <f t="shared" si="21"/>
        <v>3927.082534924134</v>
      </c>
      <c r="CA17" s="73"/>
      <c r="CB17" s="73">
        <v>122</v>
      </c>
      <c r="CC17" s="73">
        <f t="shared" si="22"/>
        <v>22.666666666666668</v>
      </c>
      <c r="CD17" s="73">
        <f t="shared" si="23"/>
        <v>7.555555555555555</v>
      </c>
      <c r="CE17" s="73">
        <f t="shared" si="24"/>
        <v>99.84</v>
      </c>
      <c r="CF17" s="73">
        <v>8</v>
      </c>
      <c r="CG17" s="73">
        <v>6</v>
      </c>
      <c r="CH17" s="73">
        <v>1</v>
      </c>
      <c r="CI17" s="73">
        <f t="shared" si="25"/>
        <v>17.28496649489786</v>
      </c>
      <c r="CJ17" s="73">
        <f t="shared" si="26"/>
        <v>4389.281534070656</v>
      </c>
      <c r="CK17" s="73"/>
      <c r="CL17" s="73">
        <v>388</v>
      </c>
      <c r="CM17" s="73">
        <f t="shared" si="27"/>
        <v>17</v>
      </c>
      <c r="CN17" s="73">
        <f t="shared" si="28"/>
        <v>8.5</v>
      </c>
      <c r="CO17" s="73">
        <f t="shared" si="29"/>
        <v>99.84</v>
      </c>
      <c r="CP17" s="73">
        <v>8</v>
      </c>
      <c r="CQ17" s="73">
        <v>6</v>
      </c>
      <c r="CR17" s="73">
        <v>1</v>
      </c>
      <c r="CS17" s="73">
        <f t="shared" si="30"/>
        <v>16.856490217499257</v>
      </c>
      <c r="CT17" s="73">
        <f t="shared" si="31"/>
        <v>3873.035551560392</v>
      </c>
      <c r="CU17" s="73"/>
      <c r="CV17" s="73">
        <v>384</v>
      </c>
      <c r="CW17" s="73">
        <f t="shared" si="32"/>
        <v>17</v>
      </c>
      <c r="CX17" s="73">
        <f t="shared" si="33"/>
        <v>10.461538461538462</v>
      </c>
      <c r="CY17" s="73">
        <f t="shared" si="34"/>
        <v>99.84</v>
      </c>
      <c r="CZ17" s="73">
        <v>8</v>
      </c>
      <c r="DA17" s="73">
        <v>6</v>
      </c>
      <c r="DB17" s="73">
        <v>1</v>
      </c>
      <c r="DC17" s="73">
        <f t="shared" si="35"/>
        <v>18.972925842294714</v>
      </c>
      <c r="DD17" s="73">
        <f t="shared" si="67"/>
        <v>3937.359665266638</v>
      </c>
      <c r="DE17" s="73"/>
      <c r="DF17" s="73">
        <v>234</v>
      </c>
      <c r="DG17" s="73">
        <f t="shared" si="37"/>
        <v>19.428571428571427</v>
      </c>
      <c r="DH17" s="73">
        <f t="shared" si="38"/>
        <v>11.333333333333334</v>
      </c>
      <c r="DI17" s="73">
        <f t="shared" si="39"/>
        <v>99.84</v>
      </c>
      <c r="DJ17" s="73">
        <v>8</v>
      </c>
      <c r="DK17" s="73">
        <v>6</v>
      </c>
      <c r="DL17" s="73">
        <v>1</v>
      </c>
      <c r="DM17" s="73">
        <f t="shared" si="40"/>
        <v>21.02623820024281</v>
      </c>
      <c r="DN17" s="73">
        <f t="shared" si="41"/>
        <v>4332.199520288143</v>
      </c>
      <c r="DO17" s="73"/>
      <c r="DP17" s="73">
        <v>477</v>
      </c>
      <c r="DQ17" s="73">
        <f t="shared" si="42"/>
        <v>22.666666666666668</v>
      </c>
      <c r="DR17" s="73">
        <f t="shared" si="43"/>
        <v>11.333333333333334</v>
      </c>
      <c r="DS17" s="73">
        <f t="shared" si="44"/>
        <v>99.84</v>
      </c>
      <c r="DT17" s="73">
        <v>8</v>
      </c>
      <c r="DU17" s="73">
        <v>6</v>
      </c>
      <c r="DV17" s="73">
        <v>1</v>
      </c>
      <c r="DW17" s="73">
        <f t="shared" si="45"/>
        <v>22.412254060478013</v>
      </c>
      <c r="DX17" s="73">
        <f t="shared" si="46"/>
        <v>4687.323170678458</v>
      </c>
      <c r="DY17" s="73"/>
      <c r="DZ17" s="92">
        <v>9999</v>
      </c>
      <c r="EA17" s="73">
        <f t="shared" si="47"/>
        <v>22.666666666666668</v>
      </c>
      <c r="EB17" s="73">
        <f t="shared" si="48"/>
        <v>11.333333333333334</v>
      </c>
      <c r="EC17" s="73">
        <f t="shared" si="49"/>
        <v>99.84</v>
      </c>
      <c r="ED17" s="73">
        <v>8</v>
      </c>
      <c r="EE17" s="73">
        <v>6</v>
      </c>
      <c r="EF17" s="73">
        <v>1</v>
      </c>
      <c r="EG17" s="73">
        <f t="shared" si="50"/>
        <v>22.412254060478013</v>
      </c>
      <c r="EH17" s="73">
        <f t="shared" si="51"/>
        <v>4687.323170678458</v>
      </c>
      <c r="EI17" s="73"/>
      <c r="EJ17" s="73">
        <v>548</v>
      </c>
      <c r="EK17" s="73">
        <f t="shared" si="52"/>
        <v>34</v>
      </c>
      <c r="EL17" s="73">
        <f t="shared" si="53"/>
        <v>12.363636363636363</v>
      </c>
      <c r="EM17" s="73">
        <f t="shared" si="54"/>
        <v>99.84</v>
      </c>
      <c r="EN17" s="73">
        <v>8</v>
      </c>
      <c r="EO17" s="73">
        <v>6</v>
      </c>
      <c r="EP17" s="73">
        <v>1</v>
      </c>
      <c r="EQ17" s="73">
        <f t="shared" si="55"/>
        <v>27.374600819328407</v>
      </c>
      <c r="ER17" s="73">
        <f t="shared" si="56"/>
        <v>5645.557008867484</v>
      </c>
      <c r="ES17" s="73"/>
      <c r="ET17" s="73">
        <v>50</v>
      </c>
      <c r="EU17" s="73">
        <v>0</v>
      </c>
      <c r="EV17" s="73">
        <v>0</v>
      </c>
      <c r="EW17" s="73">
        <v>0</v>
      </c>
      <c r="EX17" s="73">
        <v>50</v>
      </c>
      <c r="EY17" s="73">
        <v>0</v>
      </c>
      <c r="EZ17" s="73">
        <v>0</v>
      </c>
      <c r="FA17" s="73">
        <v>0</v>
      </c>
      <c r="FB17" s="73">
        <v>0</v>
      </c>
      <c r="FC17" s="92">
        <f t="shared" si="57"/>
        <v>3470.9517522371675</v>
      </c>
    </row>
    <row r="18" spans="1:159" s="17" customFormat="1" ht="17.25">
      <c r="A18" s="71">
        <v>14</v>
      </c>
      <c r="B18" s="72" t="s">
        <v>297</v>
      </c>
      <c r="C18" s="75">
        <v>1</v>
      </c>
      <c r="D18" s="72">
        <v>4</v>
      </c>
      <c r="E18" s="75">
        <v>750</v>
      </c>
      <c r="F18" s="75">
        <v>3600</v>
      </c>
      <c r="G18" s="72">
        <f t="shared" si="0"/>
        <v>750</v>
      </c>
      <c r="H18" s="72">
        <v>256</v>
      </c>
      <c r="I18" s="72">
        <v>40</v>
      </c>
      <c r="J18" s="72">
        <f>I18</f>
        <v>40</v>
      </c>
      <c r="K18" s="72">
        <v>16</v>
      </c>
      <c r="L18" s="72" t="s">
        <v>25</v>
      </c>
      <c r="M18" s="72">
        <f>J18*20</f>
        <v>800</v>
      </c>
      <c r="N18" s="72" t="s">
        <v>25</v>
      </c>
      <c r="O18" s="72" t="s">
        <v>21</v>
      </c>
      <c r="P18" s="77">
        <f t="shared" si="58"/>
        <v>448.71811627254925</v>
      </c>
      <c r="Q18" s="78">
        <f t="shared" si="1"/>
        <v>3087.7108767336863</v>
      </c>
      <c r="R18" s="78"/>
      <c r="S18" s="79">
        <v>512</v>
      </c>
      <c r="T18" s="90">
        <v>55</v>
      </c>
      <c r="U18" s="90">
        <v>190</v>
      </c>
      <c r="V18" s="72" t="s">
        <v>37</v>
      </c>
      <c r="W18" s="94" t="s">
        <v>38</v>
      </c>
      <c r="X18" s="14" t="s">
        <v>41</v>
      </c>
      <c r="Y18" s="72" t="s">
        <v>40</v>
      </c>
      <c r="Z18" s="81">
        <v>9.2</v>
      </c>
      <c r="AA18" s="124" t="s">
        <v>559</v>
      </c>
      <c r="AB18" s="72">
        <v>10.1</v>
      </c>
      <c r="AC18" s="82">
        <v>5</v>
      </c>
      <c r="AD18" s="83">
        <v>260</v>
      </c>
      <c r="AE18" s="84">
        <v>956</v>
      </c>
      <c r="AF18" s="85">
        <v>55</v>
      </c>
      <c r="AG18" s="72"/>
      <c r="AH18" s="73"/>
      <c r="AI18" s="87">
        <f t="shared" si="61"/>
        <v>60</v>
      </c>
      <c r="AJ18" s="91">
        <f t="shared" si="62"/>
        <v>60</v>
      </c>
      <c r="AK18" s="87">
        <f t="shared" si="63"/>
        <v>12</v>
      </c>
      <c r="AL18" s="87">
        <f t="shared" si="64"/>
        <v>100</v>
      </c>
      <c r="AM18" s="92">
        <f t="shared" si="65"/>
        <v>92.16</v>
      </c>
      <c r="AN18" s="73">
        <f t="shared" si="68"/>
        <v>1</v>
      </c>
      <c r="AO18" s="87">
        <v>2</v>
      </c>
      <c r="AP18" s="87">
        <v>1</v>
      </c>
      <c r="AQ18" s="87">
        <v>1</v>
      </c>
      <c r="AR18" s="87">
        <v>5</v>
      </c>
      <c r="AS18" s="87">
        <v>5</v>
      </c>
      <c r="AT18" s="87">
        <v>1</v>
      </c>
      <c r="AU18" s="87">
        <v>1</v>
      </c>
      <c r="AV18" s="87">
        <v>2.8</v>
      </c>
      <c r="AW18" s="87">
        <f t="shared" si="8"/>
        <v>60</v>
      </c>
      <c r="AX18" s="87">
        <f t="shared" si="9"/>
        <v>36</v>
      </c>
      <c r="AY18" s="87">
        <f>AX18*AL18*(AS20+AT18)/(AX18*AS20+AL18*AT18)</f>
        <v>77.14285714285714</v>
      </c>
      <c r="AZ18" s="87">
        <f t="shared" si="11"/>
        <v>80.59899349453786</v>
      </c>
      <c r="BA18" s="87"/>
      <c r="BB18" s="73">
        <v>0.02</v>
      </c>
      <c r="BC18" s="73">
        <f t="shared" si="60"/>
        <v>78.9870136246471</v>
      </c>
      <c r="BD18" s="73">
        <v>4.840412061378459</v>
      </c>
      <c r="BE18" s="87">
        <v>5.680910008889502</v>
      </c>
      <c r="BF18" s="73"/>
      <c r="BG18" s="73"/>
      <c r="BH18" s="92">
        <v>511</v>
      </c>
      <c r="BI18" s="92">
        <f t="shared" si="12"/>
        <v>8</v>
      </c>
      <c r="BJ18" s="87">
        <f t="shared" si="13"/>
        <v>15</v>
      </c>
      <c r="BK18" s="87">
        <f t="shared" si="14"/>
        <v>92.16</v>
      </c>
      <c r="BL18" s="87">
        <v>8</v>
      </c>
      <c r="BM18" s="87">
        <v>6</v>
      </c>
      <c r="BN18" s="87">
        <v>1</v>
      </c>
      <c r="BO18" s="93">
        <f t="shared" si="15"/>
        <v>14.175844459484404</v>
      </c>
      <c r="BP18" s="73">
        <f t="shared" si="66"/>
        <v>2855.6128556847116</v>
      </c>
      <c r="BQ18" s="73"/>
      <c r="BR18" s="92">
        <v>111</v>
      </c>
      <c r="BS18" s="92">
        <f t="shared" si="17"/>
        <v>7.5</v>
      </c>
      <c r="BT18" s="87">
        <f t="shared" si="18"/>
        <v>15</v>
      </c>
      <c r="BU18" s="92">
        <f t="shared" si="19"/>
        <v>92.16</v>
      </c>
      <c r="BV18" s="87">
        <v>8</v>
      </c>
      <c r="BW18" s="87">
        <v>6</v>
      </c>
      <c r="BX18" s="87">
        <v>1</v>
      </c>
      <c r="BY18" s="93">
        <f t="shared" si="20"/>
        <v>13.536219963574407</v>
      </c>
      <c r="BZ18" s="92">
        <f t="shared" si="21"/>
        <v>3496.6670304708864</v>
      </c>
      <c r="CA18" s="73"/>
      <c r="CB18" s="92">
        <v>122</v>
      </c>
      <c r="CC18" s="92">
        <f t="shared" si="22"/>
        <v>20</v>
      </c>
      <c r="CD18" s="87">
        <f t="shared" si="23"/>
        <v>6.666666666666667</v>
      </c>
      <c r="CE18" s="92">
        <f t="shared" si="24"/>
        <v>92.16</v>
      </c>
      <c r="CF18" s="87">
        <v>8</v>
      </c>
      <c r="CG18" s="87">
        <v>6</v>
      </c>
      <c r="CH18" s="87">
        <v>1</v>
      </c>
      <c r="CI18" s="93">
        <f t="shared" si="25"/>
        <v>15.257267730613869</v>
      </c>
      <c r="CJ18" s="92">
        <f t="shared" si="26"/>
        <v>3908.364746762765</v>
      </c>
      <c r="CK18" s="73"/>
      <c r="CL18" s="92">
        <v>388</v>
      </c>
      <c r="CM18" s="92">
        <f t="shared" si="27"/>
        <v>15</v>
      </c>
      <c r="CN18" s="92">
        <f t="shared" si="28"/>
        <v>7.5</v>
      </c>
      <c r="CO18" s="92">
        <f t="shared" si="29"/>
        <v>92.16</v>
      </c>
      <c r="CP18" s="92">
        <v>8</v>
      </c>
      <c r="CQ18" s="92">
        <v>6</v>
      </c>
      <c r="CR18" s="92">
        <v>1</v>
      </c>
      <c r="CS18" s="92">
        <f t="shared" si="30"/>
        <v>14.878915079108813</v>
      </c>
      <c r="CT18" s="92">
        <f t="shared" si="31"/>
        <v>3448.651487713461</v>
      </c>
      <c r="CU18" s="73"/>
      <c r="CV18" s="92">
        <v>384</v>
      </c>
      <c r="CW18" s="92">
        <f t="shared" si="32"/>
        <v>15</v>
      </c>
      <c r="CX18" s="92">
        <f t="shared" si="33"/>
        <v>9.23076923076923</v>
      </c>
      <c r="CY18" s="92">
        <f t="shared" si="34"/>
        <v>92.16</v>
      </c>
      <c r="CZ18" s="92">
        <v>8</v>
      </c>
      <c r="DA18" s="92">
        <v>6</v>
      </c>
      <c r="DB18" s="92">
        <v>1</v>
      </c>
      <c r="DC18" s="92">
        <f t="shared" si="35"/>
        <v>16.747837464563496</v>
      </c>
      <c r="DD18" s="92">
        <f t="shared" si="67"/>
        <v>3506.0798780592722</v>
      </c>
      <c r="DE18" s="73"/>
      <c r="DF18" s="92">
        <v>234</v>
      </c>
      <c r="DG18" s="92">
        <f t="shared" si="37"/>
        <v>17.142857142857142</v>
      </c>
      <c r="DH18" s="92">
        <f t="shared" si="38"/>
        <v>10</v>
      </c>
      <c r="DI18" s="92">
        <f t="shared" si="39"/>
        <v>92.16</v>
      </c>
      <c r="DJ18" s="92">
        <v>8</v>
      </c>
      <c r="DK18" s="92">
        <v>6</v>
      </c>
      <c r="DL18" s="92">
        <v>1</v>
      </c>
      <c r="DM18" s="92">
        <f t="shared" si="40"/>
        <v>18.561185853540643</v>
      </c>
      <c r="DN18" s="92">
        <f t="shared" si="41"/>
        <v>3857.8336724761057</v>
      </c>
      <c r="DO18" s="73"/>
      <c r="DP18" s="92">
        <v>477</v>
      </c>
      <c r="DQ18" s="92">
        <f t="shared" si="42"/>
        <v>20</v>
      </c>
      <c r="DR18" s="92">
        <f t="shared" si="43"/>
        <v>10</v>
      </c>
      <c r="DS18" s="92">
        <f t="shared" si="44"/>
        <v>92.16</v>
      </c>
      <c r="DT18" s="92">
        <v>8</v>
      </c>
      <c r="DU18" s="92">
        <v>6</v>
      </c>
      <c r="DV18" s="92">
        <v>1</v>
      </c>
      <c r="DW18" s="92">
        <f t="shared" si="45"/>
        <v>19.78531558608845</v>
      </c>
      <c r="DX18" s="92">
        <f t="shared" si="46"/>
        <v>4174.191036162775</v>
      </c>
      <c r="DY18" s="73"/>
      <c r="DZ18" s="92">
        <v>9999</v>
      </c>
      <c r="EA18" s="73">
        <f t="shared" si="47"/>
        <v>20</v>
      </c>
      <c r="EB18" s="73">
        <f t="shared" si="48"/>
        <v>10</v>
      </c>
      <c r="EC18" s="73">
        <f t="shared" si="49"/>
        <v>92.16</v>
      </c>
      <c r="ED18" s="92">
        <v>8</v>
      </c>
      <c r="EE18" s="92">
        <v>6</v>
      </c>
      <c r="EF18" s="92">
        <v>1</v>
      </c>
      <c r="EG18" s="92">
        <f t="shared" si="50"/>
        <v>19.78531558608845</v>
      </c>
      <c r="EH18" s="92">
        <f t="shared" si="51"/>
        <v>4174.191036162775</v>
      </c>
      <c r="EI18" s="73"/>
      <c r="EJ18" s="92">
        <v>548</v>
      </c>
      <c r="EK18" s="92">
        <f t="shared" si="52"/>
        <v>30</v>
      </c>
      <c r="EL18" s="92">
        <f t="shared" si="53"/>
        <v>10.909090909090908</v>
      </c>
      <c r="EM18" s="92">
        <f t="shared" si="54"/>
        <v>92.16</v>
      </c>
      <c r="EN18" s="92">
        <v>8</v>
      </c>
      <c r="EO18" s="92">
        <v>6</v>
      </c>
      <c r="EP18" s="92">
        <v>1</v>
      </c>
      <c r="EQ18" s="92">
        <f t="shared" si="55"/>
        <v>24.16867722647645</v>
      </c>
      <c r="ER18" s="92">
        <f t="shared" si="56"/>
        <v>5028.037730474618</v>
      </c>
      <c r="ES18" s="73"/>
      <c r="ET18" s="73">
        <v>50</v>
      </c>
      <c r="EU18" s="73">
        <v>0</v>
      </c>
      <c r="EV18" s="73">
        <v>0</v>
      </c>
      <c r="EW18" s="73">
        <v>0</v>
      </c>
      <c r="EX18" s="73">
        <v>50</v>
      </c>
      <c r="EY18" s="73">
        <v>0</v>
      </c>
      <c r="EZ18" s="73">
        <v>0</v>
      </c>
      <c r="FA18" s="73">
        <v>0</v>
      </c>
      <c r="FB18" s="73">
        <v>0</v>
      </c>
      <c r="FC18" s="92">
        <f t="shared" si="57"/>
        <v>3087.7108767336863</v>
      </c>
    </row>
    <row r="19" spans="1:159" s="17" customFormat="1" ht="17.25">
      <c r="A19" s="71">
        <v>15</v>
      </c>
      <c r="B19" s="72" t="s">
        <v>323</v>
      </c>
      <c r="C19" s="75">
        <v>1</v>
      </c>
      <c r="D19" s="72">
        <v>4</v>
      </c>
      <c r="E19" s="75">
        <v>750</v>
      </c>
      <c r="F19" s="75">
        <v>3000</v>
      </c>
      <c r="G19" s="72">
        <f t="shared" si="0"/>
        <v>750</v>
      </c>
      <c r="H19" s="72">
        <v>256</v>
      </c>
      <c r="I19" s="72">
        <v>32</v>
      </c>
      <c r="J19" s="72">
        <v>32</v>
      </c>
      <c r="K19" s="72">
        <v>16</v>
      </c>
      <c r="L19" s="72" t="s">
        <v>25</v>
      </c>
      <c r="M19" s="72">
        <v>640</v>
      </c>
      <c r="N19" s="72" t="s">
        <v>25</v>
      </c>
      <c r="O19" s="72" t="s">
        <v>21</v>
      </c>
      <c r="P19" s="77">
        <f t="shared" si="58"/>
        <v>372.6510186822078</v>
      </c>
      <c r="Q19" s="78">
        <f t="shared" si="1"/>
        <v>2831.1259547229133</v>
      </c>
      <c r="R19" s="78"/>
      <c r="S19" s="79">
        <v>512</v>
      </c>
      <c r="T19" s="90">
        <v>45</v>
      </c>
      <c r="U19" s="90">
        <v>140</v>
      </c>
      <c r="V19" s="72" t="s">
        <v>37</v>
      </c>
      <c r="W19" s="72" t="s">
        <v>42</v>
      </c>
      <c r="X19" s="14" t="s">
        <v>41</v>
      </c>
      <c r="Y19" s="72" t="s">
        <v>40</v>
      </c>
      <c r="Z19" s="81">
        <v>9.2</v>
      </c>
      <c r="AA19" s="124" t="s">
        <v>559</v>
      </c>
      <c r="AB19" s="72">
        <v>10.1</v>
      </c>
      <c r="AC19" s="82">
        <v>5</v>
      </c>
      <c r="AD19" s="83">
        <v>282</v>
      </c>
      <c r="AE19" s="84">
        <v>959</v>
      </c>
      <c r="AF19" s="85" t="s">
        <v>285</v>
      </c>
      <c r="AG19" s="72"/>
      <c r="AH19" s="73"/>
      <c r="AI19" s="73">
        <f t="shared" si="61"/>
        <v>48</v>
      </c>
      <c r="AJ19" s="73">
        <f t="shared" si="62"/>
        <v>48</v>
      </c>
      <c r="AK19" s="73">
        <f t="shared" si="63"/>
        <v>12</v>
      </c>
      <c r="AL19" s="73">
        <f t="shared" si="64"/>
        <v>80</v>
      </c>
      <c r="AM19" s="92">
        <f t="shared" si="65"/>
        <v>76.8</v>
      </c>
      <c r="AN19" s="73">
        <f t="shared" si="68"/>
        <v>1</v>
      </c>
      <c r="AO19" s="73">
        <v>2</v>
      </c>
      <c r="AP19" s="73">
        <v>1</v>
      </c>
      <c r="AQ19" s="73">
        <v>1</v>
      </c>
      <c r="AR19" s="73">
        <v>5</v>
      </c>
      <c r="AS19" s="73">
        <v>5</v>
      </c>
      <c r="AT19" s="73">
        <v>1</v>
      </c>
      <c r="AU19" s="73">
        <v>1</v>
      </c>
      <c r="AV19" s="73">
        <v>2.8</v>
      </c>
      <c r="AW19" s="73">
        <f t="shared" si="8"/>
        <v>48</v>
      </c>
      <c r="AX19" s="73">
        <f t="shared" si="9"/>
        <v>32</v>
      </c>
      <c r="AY19" s="73">
        <f>AX19*AL19*(AS19+AT19)/(AX19*AS19+AL19*AT19)</f>
        <v>64</v>
      </c>
      <c r="AZ19" s="73">
        <f t="shared" si="11"/>
        <v>66.93577981651376</v>
      </c>
      <c r="BA19" s="73"/>
      <c r="BB19" s="73">
        <v>0.02</v>
      </c>
      <c r="BC19" s="73">
        <f t="shared" si="60"/>
        <v>65.59706422018348</v>
      </c>
      <c r="BD19" s="73">
        <v>4.840412061378459</v>
      </c>
      <c r="BE19" s="87">
        <v>5.680910008889502</v>
      </c>
      <c r="BF19" s="73"/>
      <c r="BG19" s="73"/>
      <c r="BH19" s="73">
        <v>511</v>
      </c>
      <c r="BI19" s="73">
        <f t="shared" si="12"/>
        <v>8</v>
      </c>
      <c r="BJ19" s="73">
        <f t="shared" si="13"/>
        <v>12</v>
      </c>
      <c r="BK19" s="73">
        <f t="shared" si="14"/>
        <v>76.8</v>
      </c>
      <c r="BL19" s="73">
        <v>8</v>
      </c>
      <c r="BM19" s="73">
        <v>6</v>
      </c>
      <c r="BN19" s="73">
        <v>1</v>
      </c>
      <c r="BO19" s="73">
        <f t="shared" si="15"/>
        <v>13.218588640275389</v>
      </c>
      <c r="BP19" s="73">
        <f t="shared" si="66"/>
        <v>2672.105920425093</v>
      </c>
      <c r="BQ19" s="73"/>
      <c r="BR19" s="73">
        <v>111</v>
      </c>
      <c r="BS19" s="73">
        <f t="shared" si="17"/>
        <v>7.5</v>
      </c>
      <c r="BT19" s="73">
        <f t="shared" si="18"/>
        <v>12</v>
      </c>
      <c r="BU19" s="73">
        <f t="shared" si="19"/>
        <v>76.8</v>
      </c>
      <c r="BV19" s="73">
        <v>8</v>
      </c>
      <c r="BW19" s="73">
        <v>6</v>
      </c>
      <c r="BX19" s="73">
        <v>1</v>
      </c>
      <c r="BY19" s="73">
        <f t="shared" si="20"/>
        <v>12.660731948565777</v>
      </c>
      <c r="BZ19" s="73">
        <f t="shared" si="21"/>
        <v>3285.854971013513</v>
      </c>
      <c r="CA19" s="73"/>
      <c r="CB19" s="73">
        <v>122</v>
      </c>
      <c r="CC19" s="73">
        <f t="shared" si="22"/>
        <v>20</v>
      </c>
      <c r="CD19" s="73">
        <f t="shared" si="23"/>
        <v>5.333333333333333</v>
      </c>
      <c r="CE19" s="73">
        <f t="shared" si="24"/>
        <v>76.8</v>
      </c>
      <c r="CF19" s="73">
        <v>8</v>
      </c>
      <c r="CG19" s="73">
        <v>6</v>
      </c>
      <c r="CH19" s="73">
        <v>1</v>
      </c>
      <c r="CI19" s="73">
        <f t="shared" si="25"/>
        <v>13.003725025397902</v>
      </c>
      <c r="CJ19" s="73">
        <f t="shared" si="26"/>
        <v>3368.563409012217</v>
      </c>
      <c r="CK19" s="73"/>
      <c r="CL19" s="73">
        <v>388</v>
      </c>
      <c r="CM19" s="73">
        <f t="shared" si="27"/>
        <v>15</v>
      </c>
      <c r="CN19" s="73">
        <f t="shared" si="28"/>
        <v>6</v>
      </c>
      <c r="CO19" s="73">
        <f t="shared" si="29"/>
        <v>76.8</v>
      </c>
      <c r="CP19" s="73">
        <v>8</v>
      </c>
      <c r="CQ19" s="73">
        <v>6</v>
      </c>
      <c r="CR19" s="73">
        <v>1</v>
      </c>
      <c r="CS19" s="73">
        <f t="shared" si="30"/>
        <v>12.933647692825868</v>
      </c>
      <c r="CT19" s="73">
        <f t="shared" si="31"/>
        <v>3027.3217856670644</v>
      </c>
      <c r="CU19" s="73"/>
      <c r="CV19" s="73">
        <v>384</v>
      </c>
      <c r="CW19" s="73">
        <f t="shared" si="32"/>
        <v>15</v>
      </c>
      <c r="CX19" s="73">
        <f t="shared" si="33"/>
        <v>7.384615384615385</v>
      </c>
      <c r="CY19" s="73">
        <f t="shared" si="34"/>
        <v>76.8</v>
      </c>
      <c r="CZ19" s="73">
        <v>8</v>
      </c>
      <c r="DA19" s="73">
        <v>6</v>
      </c>
      <c r="DB19" s="73">
        <v>1</v>
      </c>
      <c r="DC19" s="73">
        <f t="shared" si="35"/>
        <v>14.718282866998852</v>
      </c>
      <c r="DD19" s="73">
        <f t="shared" si="67"/>
        <v>3109.190453218281</v>
      </c>
      <c r="DE19" s="73"/>
      <c r="DF19" s="73">
        <v>234</v>
      </c>
      <c r="DG19" s="73">
        <f t="shared" si="37"/>
        <v>17.142857142857142</v>
      </c>
      <c r="DH19" s="73">
        <f t="shared" si="38"/>
        <v>8</v>
      </c>
      <c r="DI19" s="73">
        <f t="shared" si="39"/>
        <v>76.8</v>
      </c>
      <c r="DJ19" s="73">
        <v>8</v>
      </c>
      <c r="DK19" s="73">
        <v>6</v>
      </c>
      <c r="DL19" s="73">
        <v>1</v>
      </c>
      <c r="DM19" s="73">
        <f t="shared" si="40"/>
        <v>16.264294790343076</v>
      </c>
      <c r="DN19" s="73">
        <f t="shared" si="41"/>
        <v>3411.8423144226845</v>
      </c>
      <c r="DO19" s="73"/>
      <c r="DP19" s="73">
        <v>477</v>
      </c>
      <c r="DQ19" s="73">
        <f t="shared" si="42"/>
        <v>20</v>
      </c>
      <c r="DR19" s="73">
        <f t="shared" si="43"/>
        <v>8</v>
      </c>
      <c r="DS19" s="73">
        <f t="shared" si="44"/>
        <v>76.8</v>
      </c>
      <c r="DT19" s="73">
        <v>8</v>
      </c>
      <c r="DU19" s="73">
        <v>6</v>
      </c>
      <c r="DV19" s="73">
        <v>1</v>
      </c>
      <c r="DW19" s="73">
        <f t="shared" si="45"/>
        <v>17.196596506941336</v>
      </c>
      <c r="DX19" s="73">
        <f t="shared" si="46"/>
        <v>3663.8262861312023</v>
      </c>
      <c r="DY19" s="73"/>
      <c r="DZ19" s="92">
        <v>9999</v>
      </c>
      <c r="EA19" s="73">
        <f t="shared" si="47"/>
        <v>20</v>
      </c>
      <c r="EB19" s="73">
        <f t="shared" si="48"/>
        <v>8</v>
      </c>
      <c r="EC19" s="73">
        <f t="shared" si="49"/>
        <v>76.8</v>
      </c>
      <c r="ED19" s="73">
        <v>8</v>
      </c>
      <c r="EE19" s="73">
        <v>6</v>
      </c>
      <c r="EF19" s="73">
        <v>1</v>
      </c>
      <c r="EG19" s="73">
        <f t="shared" si="50"/>
        <v>17.196596506941336</v>
      </c>
      <c r="EH19" s="73">
        <f t="shared" si="51"/>
        <v>3663.8262861312023</v>
      </c>
      <c r="EI19" s="73"/>
      <c r="EJ19" s="73">
        <v>548</v>
      </c>
      <c r="EK19" s="73">
        <f t="shared" si="52"/>
        <v>30</v>
      </c>
      <c r="EL19" s="73">
        <f t="shared" si="53"/>
        <v>8.727272727272727</v>
      </c>
      <c r="EM19" s="73">
        <f t="shared" si="54"/>
        <v>76.8</v>
      </c>
      <c r="EN19" s="73">
        <v>8</v>
      </c>
      <c r="EO19" s="73">
        <v>6</v>
      </c>
      <c r="EP19" s="73">
        <v>1</v>
      </c>
      <c r="EQ19" s="73">
        <f t="shared" si="55"/>
        <v>20.678513731825525</v>
      </c>
      <c r="ER19" s="73">
        <f t="shared" si="56"/>
        <v>4349.169323936829</v>
      </c>
      <c r="ES19" s="73"/>
      <c r="ET19" s="73">
        <v>50</v>
      </c>
      <c r="EU19" s="73">
        <v>0</v>
      </c>
      <c r="EV19" s="73">
        <v>0</v>
      </c>
      <c r="EW19" s="73">
        <v>0</v>
      </c>
      <c r="EX19" s="73">
        <v>50</v>
      </c>
      <c r="EY19" s="73">
        <v>0</v>
      </c>
      <c r="EZ19" s="73">
        <v>0</v>
      </c>
      <c r="FA19" s="73">
        <v>0</v>
      </c>
      <c r="FB19" s="73">
        <v>0</v>
      </c>
      <c r="FC19" s="92">
        <f t="shared" si="57"/>
        <v>2831.1259547229133</v>
      </c>
    </row>
    <row r="20" spans="1:159" s="17" customFormat="1" ht="17.25">
      <c r="A20" s="71">
        <v>16</v>
      </c>
      <c r="B20" s="72" t="s">
        <v>34</v>
      </c>
      <c r="C20" s="75">
        <v>1</v>
      </c>
      <c r="D20" s="72">
        <v>4</v>
      </c>
      <c r="E20" s="75">
        <v>625</v>
      </c>
      <c r="F20" s="75">
        <v>2000</v>
      </c>
      <c r="G20" s="72">
        <f t="shared" si="0"/>
        <v>625</v>
      </c>
      <c r="H20" s="72">
        <v>256</v>
      </c>
      <c r="I20" s="72">
        <v>40</v>
      </c>
      <c r="J20" s="72">
        <f>I20</f>
        <v>40</v>
      </c>
      <c r="K20" s="72">
        <v>16</v>
      </c>
      <c r="L20" s="72" t="s">
        <v>25</v>
      </c>
      <c r="M20" s="72">
        <f>J20*20</f>
        <v>800</v>
      </c>
      <c r="N20" s="72" t="s">
        <v>25</v>
      </c>
      <c r="O20" s="72" t="s">
        <v>21</v>
      </c>
      <c r="P20" s="77">
        <f t="shared" si="58"/>
        <v>340.6154578107418</v>
      </c>
      <c r="Q20" s="78">
        <f t="shared" si="1"/>
        <v>2593.721626392044</v>
      </c>
      <c r="R20" s="78"/>
      <c r="S20" s="79">
        <v>512</v>
      </c>
      <c r="T20" s="90">
        <v>45</v>
      </c>
      <c r="U20" s="90">
        <v>150</v>
      </c>
      <c r="V20" s="72" t="s">
        <v>37</v>
      </c>
      <c r="W20" s="72" t="s">
        <v>42</v>
      </c>
      <c r="X20" s="14" t="s">
        <v>41</v>
      </c>
      <c r="Y20" s="72" t="s">
        <v>23</v>
      </c>
      <c r="Z20" s="81">
        <v>9.2</v>
      </c>
      <c r="AA20" s="124" t="s">
        <v>559</v>
      </c>
      <c r="AB20" s="72">
        <v>10.1</v>
      </c>
      <c r="AC20" s="82">
        <v>3</v>
      </c>
      <c r="AD20" s="83">
        <v>260</v>
      </c>
      <c r="AE20" s="84">
        <v>956</v>
      </c>
      <c r="AF20" s="85">
        <v>55</v>
      </c>
      <c r="AG20" s="72"/>
      <c r="AH20" s="73"/>
      <c r="AI20" s="87">
        <f t="shared" si="61"/>
        <v>50</v>
      </c>
      <c r="AJ20" s="91">
        <f t="shared" si="62"/>
        <v>50</v>
      </c>
      <c r="AK20" s="87">
        <f t="shared" si="63"/>
        <v>10</v>
      </c>
      <c r="AL20" s="87">
        <f t="shared" si="64"/>
        <v>83.33333333333333</v>
      </c>
      <c r="AM20" s="92">
        <f t="shared" si="65"/>
        <v>53.89473684210526</v>
      </c>
      <c r="AN20" s="73">
        <f t="shared" si="68"/>
        <v>1</v>
      </c>
      <c r="AO20" s="87">
        <v>2</v>
      </c>
      <c r="AP20" s="87">
        <v>1</v>
      </c>
      <c r="AQ20" s="87">
        <v>1</v>
      </c>
      <c r="AR20" s="87">
        <v>5</v>
      </c>
      <c r="AS20" s="87">
        <v>5</v>
      </c>
      <c r="AT20" s="87">
        <v>1</v>
      </c>
      <c r="AU20" s="87">
        <v>1</v>
      </c>
      <c r="AV20" s="87">
        <v>2.8</v>
      </c>
      <c r="AW20" s="87">
        <f t="shared" si="8"/>
        <v>50</v>
      </c>
      <c r="AX20" s="87">
        <f t="shared" si="9"/>
        <v>30</v>
      </c>
      <c r="AY20" s="87">
        <f>AX20*AL20*(AS20+AT20)/(AX20*AS20+AL20*AT20)</f>
        <v>64.28571428571429</v>
      </c>
      <c r="AZ20" s="87">
        <f t="shared" si="11"/>
        <v>61.181534849268346</v>
      </c>
      <c r="BA20" s="87"/>
      <c r="BB20" s="73">
        <v>0.02</v>
      </c>
      <c r="BC20" s="73">
        <f t="shared" si="60"/>
        <v>59.95790415228298</v>
      </c>
      <c r="BD20" s="73">
        <v>4.840412061378459</v>
      </c>
      <c r="BE20" s="87">
        <v>5.680910008889502</v>
      </c>
      <c r="BF20" s="74"/>
      <c r="BG20" s="73"/>
      <c r="BH20" s="92">
        <v>511</v>
      </c>
      <c r="BI20" s="92">
        <f t="shared" si="12"/>
        <v>6.666666666666667</v>
      </c>
      <c r="BJ20" s="87">
        <f t="shared" si="13"/>
        <v>12.5</v>
      </c>
      <c r="BK20" s="87">
        <f t="shared" si="14"/>
        <v>53.89473684210526</v>
      </c>
      <c r="BL20" s="87">
        <v>8</v>
      </c>
      <c r="BM20" s="87">
        <v>6</v>
      </c>
      <c r="BN20" s="87">
        <v>1</v>
      </c>
      <c r="BO20" s="93">
        <f t="shared" si="15"/>
        <v>11.774716555895408</v>
      </c>
      <c r="BP20" s="73">
        <f t="shared" si="66"/>
        <v>2394.036538310103</v>
      </c>
      <c r="BQ20" s="73"/>
      <c r="BR20" s="92">
        <v>111</v>
      </c>
      <c r="BS20" s="92">
        <f t="shared" si="17"/>
        <v>6.25</v>
      </c>
      <c r="BT20" s="87">
        <f t="shared" si="18"/>
        <v>12.5</v>
      </c>
      <c r="BU20" s="92">
        <f t="shared" si="19"/>
        <v>53.89473684210526</v>
      </c>
      <c r="BV20" s="87">
        <v>8</v>
      </c>
      <c r="BW20" s="87">
        <v>6</v>
      </c>
      <c r="BX20" s="87">
        <v>1</v>
      </c>
      <c r="BY20" s="93">
        <f t="shared" si="20"/>
        <v>11.245085765742022</v>
      </c>
      <c r="BZ20" s="92">
        <f t="shared" si="21"/>
        <v>2942.7750950331</v>
      </c>
      <c r="CA20" s="73"/>
      <c r="CB20" s="92">
        <v>122</v>
      </c>
      <c r="CC20" s="92">
        <f t="shared" si="22"/>
        <v>16.666666666666668</v>
      </c>
      <c r="CD20" s="87">
        <f t="shared" si="23"/>
        <v>5.555555555555555</v>
      </c>
      <c r="CE20" s="92">
        <f t="shared" si="24"/>
        <v>53.89473684210526</v>
      </c>
      <c r="CF20" s="87">
        <v>8</v>
      </c>
      <c r="CG20" s="87">
        <v>6</v>
      </c>
      <c r="CH20" s="87">
        <v>1</v>
      </c>
      <c r="CI20" s="93">
        <f t="shared" si="25"/>
        <v>12.66981762391428</v>
      </c>
      <c r="CJ20" s="92">
        <f t="shared" si="26"/>
        <v>3288.047871047867</v>
      </c>
      <c r="CK20" s="73"/>
      <c r="CL20" s="92">
        <v>388</v>
      </c>
      <c r="CM20" s="92">
        <f t="shared" si="27"/>
        <v>12.5</v>
      </c>
      <c r="CN20" s="92">
        <f t="shared" si="28"/>
        <v>6.25</v>
      </c>
      <c r="CO20" s="92">
        <f t="shared" si="29"/>
        <v>53.89473684210526</v>
      </c>
      <c r="CP20" s="92">
        <v>8</v>
      </c>
      <c r="CQ20" s="92">
        <v>6</v>
      </c>
      <c r="CR20" s="92">
        <v>1</v>
      </c>
      <c r="CS20" s="92">
        <f t="shared" si="30"/>
        <v>12.356703270182212</v>
      </c>
      <c r="CT20" s="92">
        <f t="shared" si="31"/>
        <v>2901.5326766605303</v>
      </c>
      <c r="CU20" s="73"/>
      <c r="CV20" s="92">
        <v>384</v>
      </c>
      <c r="CW20" s="92">
        <f t="shared" si="32"/>
        <v>12.5</v>
      </c>
      <c r="CX20" s="92">
        <f t="shared" si="33"/>
        <v>7.6923076923076925</v>
      </c>
      <c r="CY20" s="92">
        <f t="shared" si="34"/>
        <v>53.89473684210526</v>
      </c>
      <c r="CZ20" s="92">
        <v>8</v>
      </c>
      <c r="DA20" s="92">
        <v>6</v>
      </c>
      <c r="DB20" s="92">
        <v>1</v>
      </c>
      <c r="DC20" s="92">
        <f t="shared" si="35"/>
        <v>13.902843022782198</v>
      </c>
      <c r="DD20" s="92">
        <f t="shared" si="67"/>
        <v>2948.672546040524</v>
      </c>
      <c r="DE20" s="73"/>
      <c r="DF20" s="92">
        <v>234</v>
      </c>
      <c r="DG20" s="92">
        <f t="shared" si="37"/>
        <v>14.285714285714286</v>
      </c>
      <c r="DH20" s="92">
        <f t="shared" si="38"/>
        <v>8.333333333333334</v>
      </c>
      <c r="DI20" s="92">
        <f t="shared" si="39"/>
        <v>53.89473684210526</v>
      </c>
      <c r="DJ20" s="92">
        <v>8</v>
      </c>
      <c r="DK20" s="92">
        <v>6</v>
      </c>
      <c r="DL20" s="92">
        <v>1</v>
      </c>
      <c r="DM20" s="92">
        <f t="shared" si="40"/>
        <v>15.401738711909276</v>
      </c>
      <c r="DN20" s="92">
        <f t="shared" si="41"/>
        <v>3243.247180563923</v>
      </c>
      <c r="DO20" s="73"/>
      <c r="DP20" s="92">
        <v>477</v>
      </c>
      <c r="DQ20" s="92">
        <f t="shared" si="42"/>
        <v>16.666666666666668</v>
      </c>
      <c r="DR20" s="92">
        <f t="shared" si="43"/>
        <v>8.333333333333334</v>
      </c>
      <c r="DS20" s="92">
        <f t="shared" si="44"/>
        <v>53.89473684210526</v>
      </c>
      <c r="DT20" s="92">
        <v>8</v>
      </c>
      <c r="DU20" s="92">
        <v>6</v>
      </c>
      <c r="DV20" s="92">
        <v>1</v>
      </c>
      <c r="DW20" s="92">
        <f t="shared" si="45"/>
        <v>16.412886680557783</v>
      </c>
      <c r="DX20" s="92">
        <f t="shared" si="46"/>
        <v>3508.2890747470974</v>
      </c>
      <c r="DY20" s="73"/>
      <c r="DZ20" s="92">
        <v>9999</v>
      </c>
      <c r="EA20" s="73">
        <f t="shared" si="47"/>
        <v>16.666666666666668</v>
      </c>
      <c r="EB20" s="73">
        <f t="shared" si="48"/>
        <v>8.333333333333334</v>
      </c>
      <c r="EC20" s="73">
        <f t="shared" si="49"/>
        <v>53.89473684210526</v>
      </c>
      <c r="ED20" s="92">
        <v>8</v>
      </c>
      <c r="EE20" s="92">
        <v>6</v>
      </c>
      <c r="EF20" s="92">
        <v>1</v>
      </c>
      <c r="EG20" s="92">
        <f t="shared" si="50"/>
        <v>16.412886680557783</v>
      </c>
      <c r="EH20" s="92">
        <f t="shared" si="51"/>
        <v>3508.2890747470974</v>
      </c>
      <c r="EI20" s="73"/>
      <c r="EJ20" s="92">
        <v>548</v>
      </c>
      <c r="EK20" s="92">
        <f t="shared" si="52"/>
        <v>25</v>
      </c>
      <c r="EL20" s="92">
        <f t="shared" si="53"/>
        <v>9.090909090909092</v>
      </c>
      <c r="EM20" s="92">
        <f t="shared" si="54"/>
        <v>53.89473684210526</v>
      </c>
      <c r="EN20" s="92">
        <v>8</v>
      </c>
      <c r="EO20" s="92">
        <v>6</v>
      </c>
      <c r="EP20" s="92">
        <v>1</v>
      </c>
      <c r="EQ20" s="92">
        <f t="shared" si="55"/>
        <v>20.028948089034934</v>
      </c>
      <c r="ER20" s="92">
        <f t="shared" si="56"/>
        <v>4221.972683436156</v>
      </c>
      <c r="ES20" s="73"/>
      <c r="ET20" s="73">
        <v>50</v>
      </c>
      <c r="EU20" s="73">
        <v>0</v>
      </c>
      <c r="EV20" s="73">
        <v>0</v>
      </c>
      <c r="EW20" s="73">
        <v>0</v>
      </c>
      <c r="EX20" s="73">
        <v>50</v>
      </c>
      <c r="EY20" s="73">
        <v>0</v>
      </c>
      <c r="EZ20" s="73">
        <v>0</v>
      </c>
      <c r="FA20" s="73">
        <v>0</v>
      </c>
      <c r="FB20" s="73">
        <v>0</v>
      </c>
      <c r="FC20" s="92">
        <f t="shared" si="57"/>
        <v>2593.721626392044</v>
      </c>
    </row>
    <row r="21" spans="1:159" s="17" customFormat="1" ht="18.75" customHeight="1">
      <c r="A21" s="71">
        <v>17</v>
      </c>
      <c r="B21" s="72" t="s">
        <v>58</v>
      </c>
      <c r="C21" s="75">
        <v>1</v>
      </c>
      <c r="D21" s="72">
        <v>4</v>
      </c>
      <c r="E21" s="75">
        <v>575</v>
      </c>
      <c r="F21" s="75">
        <v>1800</v>
      </c>
      <c r="G21" s="72">
        <f t="shared" si="0"/>
        <v>575</v>
      </c>
      <c r="H21" s="72">
        <v>256</v>
      </c>
      <c r="I21" s="72">
        <v>32</v>
      </c>
      <c r="J21" s="72">
        <f>I21</f>
        <v>32</v>
      </c>
      <c r="K21" s="72">
        <v>16</v>
      </c>
      <c r="L21" s="72" t="s">
        <v>25</v>
      </c>
      <c r="M21" s="72">
        <f>J21*20</f>
        <v>640</v>
      </c>
      <c r="N21" s="72" t="s">
        <v>25</v>
      </c>
      <c r="O21" s="72" t="s">
        <v>21</v>
      </c>
      <c r="P21" s="77">
        <f t="shared" si="58"/>
        <v>272.33895897086217</v>
      </c>
      <c r="Q21" s="78">
        <f t="shared" si="1"/>
        <v>2202.315976262627</v>
      </c>
      <c r="R21" s="78"/>
      <c r="S21" s="79">
        <v>512</v>
      </c>
      <c r="T21" s="90">
        <v>30</v>
      </c>
      <c r="U21" s="90">
        <v>95</v>
      </c>
      <c r="V21" s="72" t="s">
        <v>37</v>
      </c>
      <c r="W21" s="72" t="s">
        <v>42</v>
      </c>
      <c r="X21" s="14" t="s">
        <v>41</v>
      </c>
      <c r="Y21" s="72" t="s">
        <v>23</v>
      </c>
      <c r="Z21" s="81">
        <v>9.2</v>
      </c>
      <c r="AA21" s="124" t="s">
        <v>559</v>
      </c>
      <c r="AB21" s="72">
        <v>10.1</v>
      </c>
      <c r="AC21" s="82">
        <v>3</v>
      </c>
      <c r="AD21" s="83">
        <v>260</v>
      </c>
      <c r="AE21" s="84">
        <v>956</v>
      </c>
      <c r="AF21" s="85">
        <v>55</v>
      </c>
      <c r="AG21" s="72"/>
      <c r="AH21" s="73"/>
      <c r="AI21" s="87">
        <f t="shared" si="61"/>
        <v>36.8</v>
      </c>
      <c r="AJ21" s="91">
        <f t="shared" si="62"/>
        <v>36.8</v>
      </c>
      <c r="AK21" s="87">
        <f t="shared" si="63"/>
        <v>9.2</v>
      </c>
      <c r="AL21" s="87">
        <f t="shared" si="64"/>
        <v>61.333333333333336</v>
      </c>
      <c r="AM21" s="92">
        <f t="shared" si="65"/>
        <v>48.50526315789474</v>
      </c>
      <c r="AN21" s="73">
        <f t="shared" si="68"/>
        <v>1</v>
      </c>
      <c r="AO21" s="87">
        <v>2</v>
      </c>
      <c r="AP21" s="87">
        <v>1</v>
      </c>
      <c r="AQ21" s="87">
        <v>1</v>
      </c>
      <c r="AR21" s="87">
        <v>5</v>
      </c>
      <c r="AS21" s="87">
        <v>5</v>
      </c>
      <c r="AT21" s="87">
        <v>1</v>
      </c>
      <c r="AU21" s="87">
        <v>1</v>
      </c>
      <c r="AV21" s="87">
        <v>2.8</v>
      </c>
      <c r="AW21" s="87">
        <f t="shared" si="8"/>
        <v>36.8</v>
      </c>
      <c r="AX21" s="87">
        <f t="shared" si="9"/>
        <v>24.53333333333333</v>
      </c>
      <c r="AY21" s="87">
        <f>AX21*AL21*(AS21+AT21)/(AX21*AS21+AL21*AT21)</f>
        <v>49.06666666666666</v>
      </c>
      <c r="AZ21" s="87">
        <f t="shared" si="11"/>
        <v>48.91767278027451</v>
      </c>
      <c r="BA21" s="87"/>
      <c r="BB21" s="73">
        <v>0.02</v>
      </c>
      <c r="BC21" s="73">
        <f t="shared" si="60"/>
        <v>47.939319324669015</v>
      </c>
      <c r="BD21" s="73">
        <v>4.840412061378459</v>
      </c>
      <c r="BE21" s="87">
        <v>5.680910008889502</v>
      </c>
      <c r="BF21" s="73"/>
      <c r="BG21" s="73"/>
      <c r="BH21" s="92">
        <v>511</v>
      </c>
      <c r="BI21" s="92">
        <f t="shared" si="12"/>
        <v>6.133333333333334</v>
      </c>
      <c r="BJ21" s="87">
        <f t="shared" si="13"/>
        <v>9.2</v>
      </c>
      <c r="BK21" s="87">
        <f t="shared" si="14"/>
        <v>48.50526315789474</v>
      </c>
      <c r="BL21" s="87">
        <v>8</v>
      </c>
      <c r="BM21" s="87">
        <v>6</v>
      </c>
      <c r="BN21" s="87">
        <v>1</v>
      </c>
      <c r="BO21" s="93">
        <f t="shared" si="15"/>
        <v>10.115631487270038</v>
      </c>
      <c r="BP21" s="73">
        <f t="shared" si="66"/>
        <v>2072.3885571806118</v>
      </c>
      <c r="BQ21" s="73"/>
      <c r="BR21" s="92">
        <v>111</v>
      </c>
      <c r="BS21" s="92">
        <f t="shared" si="17"/>
        <v>5.75</v>
      </c>
      <c r="BT21" s="87">
        <f t="shared" si="18"/>
        <v>9.2</v>
      </c>
      <c r="BU21" s="92">
        <f t="shared" si="19"/>
        <v>48.50526315789474</v>
      </c>
      <c r="BV21" s="87">
        <v>8</v>
      </c>
      <c r="BW21" s="87">
        <v>6</v>
      </c>
      <c r="BX21" s="87">
        <v>1</v>
      </c>
      <c r="BY21" s="93">
        <f t="shared" si="20"/>
        <v>9.689478471939696</v>
      </c>
      <c r="BZ21" s="92">
        <f t="shared" si="21"/>
        <v>2562.2474396301636</v>
      </c>
      <c r="CA21" s="73"/>
      <c r="CB21" s="92">
        <v>122</v>
      </c>
      <c r="CC21" s="92">
        <f t="shared" si="22"/>
        <v>15.333333333333334</v>
      </c>
      <c r="CD21" s="87">
        <f t="shared" si="23"/>
        <v>4.088888888888889</v>
      </c>
      <c r="CE21" s="92">
        <f t="shared" si="24"/>
        <v>48.50526315789474</v>
      </c>
      <c r="CF21" s="87">
        <v>8</v>
      </c>
      <c r="CG21" s="87">
        <v>6</v>
      </c>
      <c r="CH21" s="87">
        <v>1</v>
      </c>
      <c r="CI21" s="93">
        <f t="shared" si="25"/>
        <v>9.951502575105279</v>
      </c>
      <c r="CJ21" s="92">
        <f t="shared" si="26"/>
        <v>2626.625446641905</v>
      </c>
      <c r="CK21" s="73"/>
      <c r="CL21" s="92">
        <v>388</v>
      </c>
      <c r="CM21" s="92">
        <f t="shared" si="27"/>
        <v>11.5</v>
      </c>
      <c r="CN21" s="92">
        <f t="shared" si="28"/>
        <v>4.6</v>
      </c>
      <c r="CO21" s="92">
        <f t="shared" si="29"/>
        <v>48.50526315789474</v>
      </c>
      <c r="CP21" s="92">
        <v>8</v>
      </c>
      <c r="CQ21" s="92">
        <v>6</v>
      </c>
      <c r="CR21" s="92">
        <v>1</v>
      </c>
      <c r="CS21" s="92">
        <f t="shared" si="30"/>
        <v>9.8979701428418</v>
      </c>
      <c r="CT21" s="92">
        <f t="shared" si="31"/>
        <v>2360.5648773957228</v>
      </c>
      <c r="CU21" s="73"/>
      <c r="CV21" s="92">
        <v>384</v>
      </c>
      <c r="CW21" s="92">
        <f t="shared" si="32"/>
        <v>11.5</v>
      </c>
      <c r="CX21" s="92">
        <f t="shared" si="33"/>
        <v>5.661538461538462</v>
      </c>
      <c r="CY21" s="92">
        <f t="shared" si="34"/>
        <v>48.50526315789474</v>
      </c>
      <c r="CZ21" s="92">
        <v>8</v>
      </c>
      <c r="DA21" s="92">
        <v>6</v>
      </c>
      <c r="DB21" s="92">
        <v>1</v>
      </c>
      <c r="DC21" s="92">
        <f t="shared" si="35"/>
        <v>11.260937242672647</v>
      </c>
      <c r="DD21" s="92">
        <f t="shared" si="67"/>
        <v>2423.843084501856</v>
      </c>
      <c r="DE21" s="73"/>
      <c r="DF21" s="92">
        <v>234</v>
      </c>
      <c r="DG21" s="92">
        <f t="shared" si="37"/>
        <v>13.142857142857142</v>
      </c>
      <c r="DH21" s="92">
        <f t="shared" si="38"/>
        <v>6.133333333333334</v>
      </c>
      <c r="DI21" s="92">
        <f t="shared" si="39"/>
        <v>48.50526315789474</v>
      </c>
      <c r="DJ21" s="92">
        <v>8</v>
      </c>
      <c r="DK21" s="92">
        <v>6</v>
      </c>
      <c r="DL21" s="92">
        <v>1</v>
      </c>
      <c r="DM21" s="92">
        <f t="shared" si="40"/>
        <v>12.441115878316909</v>
      </c>
      <c r="DN21" s="92">
        <f t="shared" si="41"/>
        <v>2659.2511893655605</v>
      </c>
      <c r="DO21" s="73"/>
      <c r="DP21" s="92">
        <v>477</v>
      </c>
      <c r="DQ21" s="92">
        <f t="shared" si="42"/>
        <v>15.333333333333334</v>
      </c>
      <c r="DR21" s="92">
        <f t="shared" si="43"/>
        <v>6.133333333333334</v>
      </c>
      <c r="DS21" s="92">
        <f t="shared" si="44"/>
        <v>48.50526315789474</v>
      </c>
      <c r="DT21" s="92">
        <v>8</v>
      </c>
      <c r="DU21" s="92">
        <v>6</v>
      </c>
      <c r="DV21" s="92">
        <v>1</v>
      </c>
      <c r="DW21" s="92">
        <f t="shared" si="45"/>
        <v>13.152561723990296</v>
      </c>
      <c r="DX21" s="92">
        <f t="shared" si="46"/>
        <v>2855.3080658534036</v>
      </c>
      <c r="DY21" s="73"/>
      <c r="DZ21" s="92">
        <v>9999</v>
      </c>
      <c r="EA21" s="73">
        <f t="shared" si="47"/>
        <v>15.333333333333334</v>
      </c>
      <c r="EB21" s="73">
        <f t="shared" si="48"/>
        <v>6.133333333333334</v>
      </c>
      <c r="EC21" s="73">
        <f t="shared" si="49"/>
        <v>48.50526315789474</v>
      </c>
      <c r="ED21" s="92">
        <v>8</v>
      </c>
      <c r="EE21" s="92">
        <v>6</v>
      </c>
      <c r="EF21" s="92">
        <v>1</v>
      </c>
      <c r="EG21" s="92">
        <f t="shared" si="50"/>
        <v>13.152561723990296</v>
      </c>
      <c r="EH21" s="92">
        <f t="shared" si="51"/>
        <v>2855.3080658534036</v>
      </c>
      <c r="EI21" s="73"/>
      <c r="EJ21" s="92">
        <v>548</v>
      </c>
      <c r="EK21" s="92">
        <f t="shared" si="52"/>
        <v>23</v>
      </c>
      <c r="EL21" s="92">
        <f t="shared" si="53"/>
        <v>6.6909090909090905</v>
      </c>
      <c r="EM21" s="92">
        <f t="shared" si="54"/>
        <v>48.50526315789474</v>
      </c>
      <c r="EN21" s="92">
        <v>8</v>
      </c>
      <c r="EO21" s="92">
        <v>6</v>
      </c>
      <c r="EP21" s="92">
        <v>1</v>
      </c>
      <c r="EQ21" s="92">
        <f t="shared" si="55"/>
        <v>15.808008114013825</v>
      </c>
      <c r="ER21" s="92">
        <f t="shared" si="56"/>
        <v>3387.888413768094</v>
      </c>
      <c r="ES21" s="73"/>
      <c r="ET21" s="73">
        <v>50</v>
      </c>
      <c r="EU21" s="73">
        <v>0</v>
      </c>
      <c r="EV21" s="73">
        <v>0</v>
      </c>
      <c r="EW21" s="73">
        <v>0</v>
      </c>
      <c r="EX21" s="73">
        <v>50</v>
      </c>
      <c r="EY21" s="73">
        <v>0</v>
      </c>
      <c r="EZ21" s="73">
        <v>0</v>
      </c>
      <c r="FA21" s="73">
        <v>0</v>
      </c>
      <c r="FB21" s="73">
        <v>0</v>
      </c>
      <c r="FC21" s="92">
        <f t="shared" si="57"/>
        <v>2202.315976262627</v>
      </c>
    </row>
    <row r="22" spans="1:159" s="17" customFormat="1" ht="17.25">
      <c r="A22" s="71">
        <v>18</v>
      </c>
      <c r="B22" s="72" t="s">
        <v>296</v>
      </c>
      <c r="C22" s="75">
        <v>1</v>
      </c>
      <c r="D22" s="72">
        <v>4</v>
      </c>
      <c r="E22" s="75">
        <v>750</v>
      </c>
      <c r="F22" s="75">
        <v>3200</v>
      </c>
      <c r="G22" s="72">
        <f t="shared" si="0"/>
        <v>750</v>
      </c>
      <c r="H22" s="72">
        <v>128</v>
      </c>
      <c r="I22" s="72">
        <v>32</v>
      </c>
      <c r="J22" s="72">
        <v>32</v>
      </c>
      <c r="K22" s="72">
        <v>16</v>
      </c>
      <c r="L22" s="72" t="s">
        <v>25</v>
      </c>
      <c r="M22" s="72">
        <v>640</v>
      </c>
      <c r="N22" s="72" t="s">
        <v>25</v>
      </c>
      <c r="O22" s="72" t="s">
        <v>21</v>
      </c>
      <c r="P22" s="77">
        <f t="shared" si="58"/>
        <v>310.36455424153314</v>
      </c>
      <c r="Q22" s="78">
        <f t="shared" si="1"/>
        <v>2810.407503701515</v>
      </c>
      <c r="R22" s="78"/>
      <c r="S22" s="79">
        <v>512</v>
      </c>
      <c r="T22" s="90">
        <v>40</v>
      </c>
      <c r="U22" s="90">
        <v>80</v>
      </c>
      <c r="V22" s="72" t="s">
        <v>37</v>
      </c>
      <c r="W22" s="72" t="s">
        <v>42</v>
      </c>
      <c r="X22" s="16" t="s">
        <v>41</v>
      </c>
      <c r="Y22" s="72" t="s">
        <v>40</v>
      </c>
      <c r="Z22" s="81">
        <v>8.15</v>
      </c>
      <c r="AA22" s="124" t="s">
        <v>559</v>
      </c>
      <c r="AB22" s="72">
        <v>10.1</v>
      </c>
      <c r="AC22" s="82">
        <v>5</v>
      </c>
      <c r="AD22" s="83">
        <v>137</v>
      </c>
      <c r="AE22" s="84">
        <v>826</v>
      </c>
      <c r="AF22" s="85" t="s">
        <v>282</v>
      </c>
      <c r="AG22" s="72"/>
      <c r="AH22" s="73"/>
      <c r="AI22" s="73">
        <f t="shared" si="61"/>
        <v>48</v>
      </c>
      <c r="AJ22" s="73">
        <f t="shared" si="62"/>
        <v>48</v>
      </c>
      <c r="AK22" s="73">
        <f t="shared" si="63"/>
        <v>12</v>
      </c>
      <c r="AL22" s="73">
        <f t="shared" si="64"/>
        <v>80</v>
      </c>
      <c r="AM22" s="92">
        <f t="shared" si="65"/>
        <v>40.96</v>
      </c>
      <c r="AN22" s="73">
        <f t="shared" si="68"/>
        <v>1</v>
      </c>
      <c r="AO22" s="73">
        <v>2</v>
      </c>
      <c r="AP22" s="73">
        <v>1</v>
      </c>
      <c r="AQ22" s="73">
        <v>1</v>
      </c>
      <c r="AR22" s="73">
        <v>5</v>
      </c>
      <c r="AS22" s="73">
        <v>5</v>
      </c>
      <c r="AT22" s="73">
        <v>1</v>
      </c>
      <c r="AU22" s="73">
        <v>1</v>
      </c>
      <c r="AV22" s="73">
        <v>2.8</v>
      </c>
      <c r="AW22" s="73">
        <f t="shared" si="8"/>
        <v>48</v>
      </c>
      <c r="AX22" s="73">
        <f t="shared" si="9"/>
        <v>32</v>
      </c>
      <c r="AY22" s="73">
        <f>AX22*AL22*(AS22+AT22)/(AX22*AS22+AL22*AT22)</f>
        <v>64</v>
      </c>
      <c r="AZ22" s="73">
        <f t="shared" si="11"/>
        <v>55.74785100286533</v>
      </c>
      <c r="BA22" s="73"/>
      <c r="BB22" s="73">
        <v>0.02</v>
      </c>
      <c r="BC22" s="73">
        <f t="shared" si="60"/>
        <v>54.63289398280802</v>
      </c>
      <c r="BD22" s="73">
        <v>4.840412061378459</v>
      </c>
      <c r="BE22" s="87">
        <v>5.680910008889502</v>
      </c>
      <c r="BF22" s="73"/>
      <c r="BG22" s="73"/>
      <c r="BH22" s="73">
        <v>511</v>
      </c>
      <c r="BI22" s="73">
        <f t="shared" si="12"/>
        <v>8</v>
      </c>
      <c r="BJ22" s="73">
        <f t="shared" si="13"/>
        <v>12</v>
      </c>
      <c r="BK22" s="73">
        <f t="shared" si="14"/>
        <v>40.96</v>
      </c>
      <c r="BL22" s="73">
        <v>8</v>
      </c>
      <c r="BM22" s="73">
        <v>6</v>
      </c>
      <c r="BN22" s="73">
        <v>1</v>
      </c>
      <c r="BO22" s="73">
        <f t="shared" si="15"/>
        <v>13.119795003203075</v>
      </c>
      <c r="BP22" s="73">
        <f t="shared" si="66"/>
        <v>2653.1300147548204</v>
      </c>
      <c r="BQ22" s="73"/>
      <c r="BR22" s="73">
        <v>111</v>
      </c>
      <c r="BS22" s="73">
        <f t="shared" si="17"/>
        <v>7.5</v>
      </c>
      <c r="BT22" s="73">
        <f t="shared" si="18"/>
        <v>12</v>
      </c>
      <c r="BU22" s="73">
        <f t="shared" si="19"/>
        <v>40.96</v>
      </c>
      <c r="BV22" s="73">
        <v>8</v>
      </c>
      <c r="BW22" s="73">
        <v>6</v>
      </c>
      <c r="BX22" s="73">
        <v>1</v>
      </c>
      <c r="BY22" s="73">
        <f t="shared" si="20"/>
        <v>12.570072425221982</v>
      </c>
      <c r="BZ22" s="73">
        <f t="shared" si="21"/>
        <v>3263.967526067642</v>
      </c>
      <c r="CA22" s="73"/>
      <c r="CB22" s="73">
        <v>122</v>
      </c>
      <c r="CC22" s="73">
        <f t="shared" si="22"/>
        <v>20</v>
      </c>
      <c r="CD22" s="73">
        <f t="shared" si="23"/>
        <v>5.333333333333333</v>
      </c>
      <c r="CE22" s="73">
        <f t="shared" si="24"/>
        <v>40.96</v>
      </c>
      <c r="CF22" s="73">
        <v>8</v>
      </c>
      <c r="CG22" s="73">
        <v>6</v>
      </c>
      <c r="CH22" s="73">
        <v>1</v>
      </c>
      <c r="CI22" s="73">
        <f t="shared" si="25"/>
        <v>12.9081053825791</v>
      </c>
      <c r="CJ22" s="73">
        <f t="shared" si="26"/>
        <v>3345.521467680278</v>
      </c>
      <c r="CK22" s="73"/>
      <c r="CL22" s="73">
        <v>388</v>
      </c>
      <c r="CM22" s="73">
        <f t="shared" si="27"/>
        <v>15</v>
      </c>
      <c r="CN22" s="73">
        <f t="shared" si="28"/>
        <v>6</v>
      </c>
      <c r="CO22" s="73">
        <f t="shared" si="29"/>
        <v>40.96</v>
      </c>
      <c r="CP22" s="73">
        <v>8</v>
      </c>
      <c r="CQ22" s="73">
        <v>6</v>
      </c>
      <c r="CR22" s="73">
        <v>1</v>
      </c>
      <c r="CS22" s="73">
        <f t="shared" si="30"/>
        <v>12.839052116855436</v>
      </c>
      <c r="CT22" s="73">
        <f t="shared" si="31"/>
        <v>3006.7248418467348</v>
      </c>
      <c r="CU22" s="73"/>
      <c r="CV22" s="73">
        <v>384</v>
      </c>
      <c r="CW22" s="73">
        <f t="shared" si="32"/>
        <v>15</v>
      </c>
      <c r="CX22" s="73">
        <f t="shared" si="33"/>
        <v>7.384615384615385</v>
      </c>
      <c r="CY22" s="73">
        <f t="shared" si="34"/>
        <v>40.96</v>
      </c>
      <c r="CZ22" s="73">
        <v>8</v>
      </c>
      <c r="DA22" s="73">
        <v>6</v>
      </c>
      <c r="DB22" s="73">
        <v>1</v>
      </c>
      <c r="DC22" s="73">
        <f t="shared" si="35"/>
        <v>14.595904404428186</v>
      </c>
      <c r="DD22" s="73">
        <f t="shared" si="67"/>
        <v>3085.1410188730365</v>
      </c>
      <c r="DE22" s="73"/>
      <c r="DF22" s="73">
        <v>234</v>
      </c>
      <c r="DG22" s="73">
        <f t="shared" si="37"/>
        <v>17.142857142857142</v>
      </c>
      <c r="DH22" s="73">
        <f t="shared" si="38"/>
        <v>8</v>
      </c>
      <c r="DI22" s="73">
        <f t="shared" si="39"/>
        <v>40.96</v>
      </c>
      <c r="DJ22" s="73">
        <v>8</v>
      </c>
      <c r="DK22" s="73">
        <v>6</v>
      </c>
      <c r="DL22" s="73">
        <v>1</v>
      </c>
      <c r="DM22" s="73">
        <f t="shared" si="40"/>
        <v>16.114987147878086</v>
      </c>
      <c r="DN22" s="73">
        <f t="shared" si="41"/>
        <v>3382.7043856639907</v>
      </c>
      <c r="DO22" s="73"/>
      <c r="DP22" s="73">
        <v>477</v>
      </c>
      <c r="DQ22" s="73">
        <f t="shared" si="42"/>
        <v>20</v>
      </c>
      <c r="DR22" s="73">
        <f t="shared" si="43"/>
        <v>8</v>
      </c>
      <c r="DS22" s="73">
        <f t="shared" si="44"/>
        <v>40.96</v>
      </c>
      <c r="DT22" s="73">
        <v>8</v>
      </c>
      <c r="DU22" s="73">
        <v>6</v>
      </c>
      <c r="DV22" s="73">
        <v>1</v>
      </c>
      <c r="DW22" s="73">
        <f t="shared" si="45"/>
        <v>17.029768834192584</v>
      </c>
      <c r="DX22" s="73">
        <f t="shared" si="46"/>
        <v>3630.759547567934</v>
      </c>
      <c r="DY22" s="73"/>
      <c r="DZ22" s="92">
        <v>9999</v>
      </c>
      <c r="EA22" s="73">
        <f t="shared" si="47"/>
        <v>20</v>
      </c>
      <c r="EB22" s="73">
        <f t="shared" si="48"/>
        <v>8</v>
      </c>
      <c r="EC22" s="73">
        <f t="shared" si="49"/>
        <v>40.96</v>
      </c>
      <c r="ED22" s="73">
        <v>8</v>
      </c>
      <c r="EE22" s="73">
        <v>6</v>
      </c>
      <c r="EF22" s="73">
        <v>1</v>
      </c>
      <c r="EG22" s="73">
        <f t="shared" si="50"/>
        <v>17.029768834192584</v>
      </c>
      <c r="EH22" s="73">
        <f t="shared" si="51"/>
        <v>3630.759547567934</v>
      </c>
      <c r="EI22" s="73"/>
      <c r="EJ22" s="73">
        <v>548</v>
      </c>
      <c r="EK22" s="73">
        <f t="shared" si="52"/>
        <v>30</v>
      </c>
      <c r="EL22" s="73">
        <f t="shared" si="53"/>
        <v>8.727272727272727</v>
      </c>
      <c r="EM22" s="73">
        <f t="shared" si="54"/>
        <v>40.96</v>
      </c>
      <c r="EN22" s="73">
        <v>8</v>
      </c>
      <c r="EO22" s="73">
        <v>6</v>
      </c>
      <c r="EP22" s="73">
        <v>1</v>
      </c>
      <c r="EQ22" s="73">
        <f t="shared" si="55"/>
        <v>20.437761958618857</v>
      </c>
      <c r="ER22" s="73">
        <f t="shared" si="56"/>
        <v>4302.058889111776</v>
      </c>
      <c r="ES22" s="73"/>
      <c r="ET22" s="73">
        <v>50</v>
      </c>
      <c r="EU22" s="73">
        <v>0</v>
      </c>
      <c r="EV22" s="73">
        <v>0</v>
      </c>
      <c r="EW22" s="73">
        <v>0</v>
      </c>
      <c r="EX22" s="73">
        <v>50</v>
      </c>
      <c r="EY22" s="73">
        <v>0</v>
      </c>
      <c r="EZ22" s="73">
        <v>0</v>
      </c>
      <c r="FA22" s="73">
        <v>0</v>
      </c>
      <c r="FB22" s="73">
        <v>0</v>
      </c>
      <c r="FC22" s="92">
        <f t="shared" si="57"/>
        <v>2810.407503701515</v>
      </c>
    </row>
    <row r="23" spans="1:159" s="17" customFormat="1" ht="17.25">
      <c r="A23" s="71">
        <v>19</v>
      </c>
      <c r="B23" s="72" t="s">
        <v>429</v>
      </c>
      <c r="C23" s="75">
        <v>1</v>
      </c>
      <c r="D23" s="72">
        <v>4</v>
      </c>
      <c r="E23" s="75">
        <v>750</v>
      </c>
      <c r="F23" s="75">
        <v>3200</v>
      </c>
      <c r="G23" s="72">
        <f t="shared" si="0"/>
        <v>750</v>
      </c>
      <c r="H23" s="72">
        <v>128</v>
      </c>
      <c r="I23" s="72">
        <v>24</v>
      </c>
      <c r="J23" s="72">
        <v>24</v>
      </c>
      <c r="K23" s="72">
        <v>16</v>
      </c>
      <c r="L23" s="72" t="s">
        <v>25</v>
      </c>
      <c r="M23" s="72">
        <v>480</v>
      </c>
      <c r="N23" s="72" t="s">
        <v>25</v>
      </c>
      <c r="O23" s="72" t="s">
        <v>21</v>
      </c>
      <c r="P23" s="77">
        <f t="shared" si="58"/>
        <v>262.52043876167386</v>
      </c>
      <c r="Q23" s="78">
        <f t="shared" si="1"/>
        <v>2478.247586733908</v>
      </c>
      <c r="R23" s="78"/>
      <c r="S23" s="79">
        <v>512</v>
      </c>
      <c r="T23" s="90">
        <v>40</v>
      </c>
      <c r="U23" s="90">
        <v>70</v>
      </c>
      <c r="V23" s="72" t="s">
        <v>37</v>
      </c>
      <c r="W23" s="94" t="s">
        <v>27</v>
      </c>
      <c r="X23" s="94" t="s">
        <v>28</v>
      </c>
      <c r="Y23" s="72" t="s">
        <v>40</v>
      </c>
      <c r="Z23" s="81">
        <v>8.15</v>
      </c>
      <c r="AA23" s="124" t="s">
        <v>559</v>
      </c>
      <c r="AB23" s="72">
        <v>10.1</v>
      </c>
      <c r="AC23" s="82">
        <v>5</v>
      </c>
      <c r="AD23" s="83">
        <v>137</v>
      </c>
      <c r="AE23" s="84">
        <v>826</v>
      </c>
      <c r="AF23" s="85" t="s">
        <v>282</v>
      </c>
      <c r="AG23" s="72"/>
      <c r="AH23" s="73"/>
      <c r="AI23" s="73">
        <f t="shared" si="61"/>
        <v>36</v>
      </c>
      <c r="AJ23" s="73">
        <f t="shared" si="62"/>
        <v>36</v>
      </c>
      <c r="AK23" s="73">
        <f t="shared" si="63"/>
        <v>12</v>
      </c>
      <c r="AL23" s="73">
        <f t="shared" si="64"/>
        <v>60</v>
      </c>
      <c r="AM23" s="92">
        <f t="shared" si="65"/>
        <v>40.96</v>
      </c>
      <c r="AN23" s="73">
        <f t="shared" si="68"/>
        <v>1</v>
      </c>
      <c r="AO23" s="73">
        <v>2</v>
      </c>
      <c r="AP23" s="73">
        <v>1</v>
      </c>
      <c r="AQ23" s="73">
        <v>1</v>
      </c>
      <c r="AR23" s="73">
        <v>5</v>
      </c>
      <c r="AS23" s="73">
        <v>5</v>
      </c>
      <c r="AT23" s="73">
        <v>1</v>
      </c>
      <c r="AU23" s="73">
        <v>1</v>
      </c>
      <c r="AV23" s="73">
        <v>2.8</v>
      </c>
      <c r="AW23" s="73">
        <f t="shared" si="8"/>
        <v>36</v>
      </c>
      <c r="AX23" s="73">
        <f t="shared" si="9"/>
        <v>27</v>
      </c>
      <c r="AY23" s="73">
        <f>AX23*AL23*(AS23+AT23)/(AX23*AS23+AL23*AT23)</f>
        <v>49.84615384615385</v>
      </c>
      <c r="AZ23" s="73">
        <f t="shared" si="11"/>
        <v>47.15406480955088</v>
      </c>
      <c r="BA23" s="73"/>
      <c r="BB23" s="73">
        <v>0.02</v>
      </c>
      <c r="BC23" s="73">
        <f t="shared" si="60"/>
        <v>46.210983513359864</v>
      </c>
      <c r="BD23" s="73">
        <v>4.840412061378459</v>
      </c>
      <c r="BE23" s="87">
        <v>5.680910008889502</v>
      </c>
      <c r="BF23" s="73"/>
      <c r="BG23" s="73"/>
      <c r="BH23" s="73">
        <v>511</v>
      </c>
      <c r="BI23" s="73">
        <f t="shared" si="12"/>
        <v>8</v>
      </c>
      <c r="BJ23" s="73">
        <f t="shared" si="13"/>
        <v>9</v>
      </c>
      <c r="BK23" s="73">
        <f t="shared" si="14"/>
        <v>40.96</v>
      </c>
      <c r="BL23" s="73">
        <v>8</v>
      </c>
      <c r="BM23" s="73">
        <v>6</v>
      </c>
      <c r="BN23" s="73">
        <v>1</v>
      </c>
      <c r="BO23" s="73">
        <f t="shared" si="15"/>
        <v>11.826756496631377</v>
      </c>
      <c r="BP23" s="73">
        <f t="shared" si="66"/>
        <v>2404.087157017857</v>
      </c>
      <c r="BQ23" s="73"/>
      <c r="BR23" s="73">
        <v>111</v>
      </c>
      <c r="BS23" s="73">
        <f t="shared" si="17"/>
        <v>7.5</v>
      </c>
      <c r="BT23" s="73">
        <f t="shared" si="18"/>
        <v>9</v>
      </c>
      <c r="BU23" s="73">
        <f t="shared" si="19"/>
        <v>40.96</v>
      </c>
      <c r="BV23" s="73">
        <v>8</v>
      </c>
      <c r="BW23" s="73">
        <v>6</v>
      </c>
      <c r="BX23" s="73">
        <v>1</v>
      </c>
      <c r="BY23" s="73">
        <f t="shared" si="20"/>
        <v>11.378199192562688</v>
      </c>
      <c r="BZ23" s="73">
        <f t="shared" si="21"/>
        <v>2975.1583050985278</v>
      </c>
      <c r="CA23" s="73"/>
      <c r="CB23" s="73">
        <v>122</v>
      </c>
      <c r="CC23" s="73">
        <f t="shared" si="22"/>
        <v>20</v>
      </c>
      <c r="CD23" s="73">
        <f t="shared" si="23"/>
        <v>4</v>
      </c>
      <c r="CE23" s="73">
        <f t="shared" si="24"/>
        <v>40.96</v>
      </c>
      <c r="CF23" s="73">
        <v>8</v>
      </c>
      <c r="CG23" s="73">
        <v>6</v>
      </c>
      <c r="CH23" s="73">
        <v>1</v>
      </c>
      <c r="CI23" s="73">
        <f t="shared" si="25"/>
        <v>10.39277377448493</v>
      </c>
      <c r="CJ23" s="73">
        <f t="shared" si="26"/>
        <v>2734.777288225908</v>
      </c>
      <c r="CK23" s="73"/>
      <c r="CL23" s="73">
        <v>388</v>
      </c>
      <c r="CM23" s="73">
        <f t="shared" si="27"/>
        <v>15</v>
      </c>
      <c r="CN23" s="73">
        <f t="shared" si="28"/>
        <v>4.5</v>
      </c>
      <c r="CO23" s="73">
        <f t="shared" si="29"/>
        <v>40.96</v>
      </c>
      <c r="CP23" s="73">
        <v>8</v>
      </c>
      <c r="CQ23" s="73">
        <v>6</v>
      </c>
      <c r="CR23" s="73">
        <v>1</v>
      </c>
      <c r="CS23" s="73">
        <f t="shared" si="30"/>
        <v>10.575963094295451</v>
      </c>
      <c r="CT23" s="73">
        <f t="shared" si="31"/>
        <v>2510.5886615785193</v>
      </c>
      <c r="CU23" s="73"/>
      <c r="CV23" s="73">
        <v>384</v>
      </c>
      <c r="CW23" s="73">
        <f t="shared" si="32"/>
        <v>15</v>
      </c>
      <c r="CX23" s="73">
        <f t="shared" si="33"/>
        <v>5.538461538461538</v>
      </c>
      <c r="CY23" s="73">
        <f t="shared" si="34"/>
        <v>40.96</v>
      </c>
      <c r="CZ23" s="73">
        <v>8</v>
      </c>
      <c r="DA23" s="73">
        <v>6</v>
      </c>
      <c r="DB23" s="73">
        <v>1</v>
      </c>
      <c r="DC23" s="73">
        <f t="shared" si="35"/>
        <v>12.187090887451898</v>
      </c>
      <c r="DD23" s="73">
        <f t="shared" si="67"/>
        <v>2608.718553247133</v>
      </c>
      <c r="DE23" s="73"/>
      <c r="DF23" s="73">
        <v>234</v>
      </c>
      <c r="DG23" s="73">
        <f t="shared" si="37"/>
        <v>17.142857142857142</v>
      </c>
      <c r="DH23" s="73">
        <f t="shared" si="38"/>
        <v>6</v>
      </c>
      <c r="DI23" s="73">
        <f t="shared" si="39"/>
        <v>40.96</v>
      </c>
      <c r="DJ23" s="73">
        <v>8</v>
      </c>
      <c r="DK23" s="73">
        <v>6</v>
      </c>
      <c r="DL23" s="73">
        <v>1</v>
      </c>
      <c r="DM23" s="73">
        <f t="shared" si="40"/>
        <v>13.41308998821115</v>
      </c>
      <c r="DN23" s="73">
        <f t="shared" si="41"/>
        <v>2851.950609224146</v>
      </c>
      <c r="DO23" s="73"/>
      <c r="DP23" s="73">
        <v>477</v>
      </c>
      <c r="DQ23" s="73">
        <f t="shared" si="42"/>
        <v>20</v>
      </c>
      <c r="DR23" s="73">
        <f t="shared" si="43"/>
        <v>6</v>
      </c>
      <c r="DS23" s="73">
        <f t="shared" si="44"/>
        <v>40.96</v>
      </c>
      <c r="DT23" s="73">
        <v>8</v>
      </c>
      <c r="DU23" s="73">
        <v>6</v>
      </c>
      <c r="DV23" s="73">
        <v>1</v>
      </c>
      <c r="DW23" s="73">
        <f t="shared" si="45"/>
        <v>14.04086109968463</v>
      </c>
      <c r="DX23" s="73">
        <f t="shared" si="46"/>
        <v>3034.2372034724754</v>
      </c>
      <c r="DY23" s="73"/>
      <c r="DZ23" s="92">
        <v>9999</v>
      </c>
      <c r="EA23" s="73">
        <f t="shared" si="47"/>
        <v>20</v>
      </c>
      <c r="EB23" s="73">
        <f t="shared" si="48"/>
        <v>6</v>
      </c>
      <c r="EC23" s="73">
        <f t="shared" si="49"/>
        <v>40.96</v>
      </c>
      <c r="ED23" s="73">
        <v>8</v>
      </c>
      <c r="EE23" s="73">
        <v>6</v>
      </c>
      <c r="EF23" s="73">
        <v>1</v>
      </c>
      <c r="EG23" s="73">
        <f t="shared" si="50"/>
        <v>14.04086109968463</v>
      </c>
      <c r="EH23" s="73">
        <f t="shared" si="51"/>
        <v>3034.2372034724754</v>
      </c>
      <c r="EI23" s="73"/>
      <c r="EJ23" s="73">
        <v>548</v>
      </c>
      <c r="EK23" s="73">
        <f t="shared" si="52"/>
        <v>30</v>
      </c>
      <c r="EL23" s="73">
        <f t="shared" si="53"/>
        <v>6.545454545454546</v>
      </c>
      <c r="EM23" s="73">
        <f t="shared" si="54"/>
        <v>40.96</v>
      </c>
      <c r="EN23" s="73">
        <v>8</v>
      </c>
      <c r="EO23" s="73">
        <v>6</v>
      </c>
      <c r="EP23" s="73">
        <v>1</v>
      </c>
      <c r="EQ23" s="73">
        <f t="shared" si="55"/>
        <v>16.559754191148723</v>
      </c>
      <c r="ER23" s="73">
        <f t="shared" si="56"/>
        <v>3537.475672728361</v>
      </c>
      <c r="ES23" s="73"/>
      <c r="ET23" s="73">
        <v>50</v>
      </c>
      <c r="EU23" s="73">
        <v>0</v>
      </c>
      <c r="EV23" s="73">
        <v>0</v>
      </c>
      <c r="EW23" s="73">
        <v>0</v>
      </c>
      <c r="EX23" s="73">
        <v>50</v>
      </c>
      <c r="EY23" s="73">
        <v>0</v>
      </c>
      <c r="EZ23" s="73">
        <v>0</v>
      </c>
      <c r="FA23" s="73">
        <v>0</v>
      </c>
      <c r="FB23" s="73">
        <v>0</v>
      </c>
      <c r="FC23" s="92">
        <f t="shared" si="57"/>
        <v>2478.247586733908</v>
      </c>
    </row>
    <row r="24" spans="1:159" s="17" customFormat="1" ht="17.25">
      <c r="A24" s="71">
        <v>20</v>
      </c>
      <c r="B24" s="72" t="s">
        <v>310</v>
      </c>
      <c r="C24" s="75">
        <v>1</v>
      </c>
      <c r="D24" s="72">
        <v>4</v>
      </c>
      <c r="E24" s="75">
        <v>700</v>
      </c>
      <c r="F24" s="75">
        <v>3600</v>
      </c>
      <c r="G24" s="72">
        <f t="shared" si="0"/>
        <v>700</v>
      </c>
      <c r="H24" s="72">
        <v>128</v>
      </c>
      <c r="I24" s="72">
        <v>32</v>
      </c>
      <c r="J24" s="72">
        <f>I24</f>
        <v>32</v>
      </c>
      <c r="K24" s="72">
        <v>8</v>
      </c>
      <c r="L24" s="72" t="s">
        <v>25</v>
      </c>
      <c r="M24" s="72">
        <f>J24*20</f>
        <v>640</v>
      </c>
      <c r="N24" s="72" t="s">
        <v>25</v>
      </c>
      <c r="O24" s="72" t="s">
        <v>21</v>
      </c>
      <c r="P24" s="77">
        <f t="shared" si="58"/>
        <v>280.13076576800444</v>
      </c>
      <c r="Q24" s="78">
        <f t="shared" si="1"/>
        <v>1745.4824043776146</v>
      </c>
      <c r="R24" s="78"/>
      <c r="S24" s="79">
        <v>512</v>
      </c>
      <c r="T24" s="90">
        <v>60</v>
      </c>
      <c r="U24" s="90">
        <v>130</v>
      </c>
      <c r="V24" s="72" t="s">
        <v>37</v>
      </c>
      <c r="W24" s="72" t="s">
        <v>38</v>
      </c>
      <c r="X24" s="16" t="s">
        <v>41</v>
      </c>
      <c r="Y24" s="72" t="s">
        <v>40</v>
      </c>
      <c r="Z24" s="81">
        <v>9.2</v>
      </c>
      <c r="AA24" s="124" t="s">
        <v>559</v>
      </c>
      <c r="AB24" s="72">
        <v>10.1</v>
      </c>
      <c r="AC24" s="82">
        <v>5</v>
      </c>
      <c r="AD24" s="83">
        <v>260</v>
      </c>
      <c r="AE24" s="84">
        <v>956</v>
      </c>
      <c r="AF24" s="85">
        <v>55</v>
      </c>
      <c r="AG24" s="72"/>
      <c r="AH24" s="73"/>
      <c r="AI24" s="73">
        <f t="shared" si="61"/>
        <v>44.8</v>
      </c>
      <c r="AJ24" s="73">
        <f t="shared" si="62"/>
        <v>44.8</v>
      </c>
      <c r="AK24" s="73">
        <f t="shared" si="63"/>
        <v>5.6</v>
      </c>
      <c r="AL24" s="73">
        <f t="shared" si="64"/>
        <v>74.66666666666667</v>
      </c>
      <c r="AM24" s="73">
        <f t="shared" si="65"/>
        <v>46.08</v>
      </c>
      <c r="AN24" s="73">
        <f t="shared" si="68"/>
        <v>1</v>
      </c>
      <c r="AO24" s="73">
        <v>2</v>
      </c>
      <c r="AP24" s="73">
        <v>1</v>
      </c>
      <c r="AQ24" s="73">
        <v>1</v>
      </c>
      <c r="AR24" s="73">
        <v>5</v>
      </c>
      <c r="AS24" s="73">
        <v>5</v>
      </c>
      <c r="AT24" s="73">
        <v>1</v>
      </c>
      <c r="AU24" s="73">
        <v>1</v>
      </c>
      <c r="AV24" s="73">
        <v>2.8</v>
      </c>
      <c r="AW24" s="73">
        <f t="shared" si="8"/>
        <v>44.8</v>
      </c>
      <c r="AX24" s="73">
        <f t="shared" si="9"/>
        <v>20.676923076923075</v>
      </c>
      <c r="AY24" s="73">
        <f>AX24*AL24*(AS25+AT24)/(AX24*AS25+AL24*AT24)</f>
        <v>52.0258064516129</v>
      </c>
      <c r="AZ24" s="73">
        <f t="shared" si="11"/>
        <v>50.31724137931033</v>
      </c>
      <c r="BA24" s="73"/>
      <c r="BB24" s="73">
        <v>0.02</v>
      </c>
      <c r="BC24" s="73">
        <f t="shared" si="60"/>
        <v>49.31089655172413</v>
      </c>
      <c r="BD24" s="73">
        <v>4.840412061378459</v>
      </c>
      <c r="BE24" s="87">
        <v>5.680910008889502</v>
      </c>
      <c r="BF24" s="73"/>
      <c r="BG24" s="73"/>
      <c r="BH24" s="73">
        <v>511</v>
      </c>
      <c r="BI24" s="73">
        <f t="shared" si="12"/>
        <v>3.7333333333333334</v>
      </c>
      <c r="BJ24" s="73">
        <f t="shared" si="13"/>
        <v>11.2</v>
      </c>
      <c r="BK24" s="73">
        <f t="shared" si="14"/>
        <v>46.08</v>
      </c>
      <c r="BL24" s="73">
        <v>8</v>
      </c>
      <c r="BM24" s="73">
        <v>6</v>
      </c>
      <c r="BN24" s="73">
        <v>1</v>
      </c>
      <c r="BO24" s="73">
        <f t="shared" si="15"/>
        <v>7.406659012629163</v>
      </c>
      <c r="BP24" s="73">
        <f t="shared" si="66"/>
        <v>1541.2357334574408</v>
      </c>
      <c r="BQ24" s="73"/>
      <c r="BR24" s="73">
        <v>111</v>
      </c>
      <c r="BS24" s="73">
        <f t="shared" si="17"/>
        <v>3.5</v>
      </c>
      <c r="BT24" s="73">
        <f t="shared" si="18"/>
        <v>11.2</v>
      </c>
      <c r="BU24" s="73">
        <f t="shared" si="19"/>
        <v>46.08</v>
      </c>
      <c r="BV24" s="73">
        <v>8</v>
      </c>
      <c r="BW24" s="73">
        <v>6</v>
      </c>
      <c r="BX24" s="73">
        <v>1</v>
      </c>
      <c r="BY24" s="73">
        <f t="shared" si="20"/>
        <v>7.034500806908886</v>
      </c>
      <c r="BZ24" s="73">
        <f t="shared" si="21"/>
        <v>1902.3422250220003</v>
      </c>
      <c r="CA24" s="73"/>
      <c r="CB24" s="73">
        <v>122</v>
      </c>
      <c r="CC24" s="73">
        <f t="shared" si="22"/>
        <v>9.333333333333334</v>
      </c>
      <c r="CD24" s="73">
        <f t="shared" si="23"/>
        <v>4.977777777777778</v>
      </c>
      <c r="CE24" s="73">
        <f t="shared" si="24"/>
        <v>46.08</v>
      </c>
      <c r="CF24" s="73">
        <v>8</v>
      </c>
      <c r="CG24" s="73">
        <v>6</v>
      </c>
      <c r="CH24" s="73">
        <v>1</v>
      </c>
      <c r="CI24" s="73">
        <f t="shared" si="25"/>
        <v>9.596001665972512</v>
      </c>
      <c r="CJ24" s="73">
        <f t="shared" si="26"/>
        <v>2539.2513177364</v>
      </c>
      <c r="CK24" s="73"/>
      <c r="CL24" s="73">
        <v>388</v>
      </c>
      <c r="CM24" s="73">
        <f t="shared" si="27"/>
        <v>7</v>
      </c>
      <c r="CN24" s="73">
        <f t="shared" si="28"/>
        <v>5.6</v>
      </c>
      <c r="CO24" s="73">
        <f t="shared" si="29"/>
        <v>46.08</v>
      </c>
      <c r="CP24" s="73">
        <v>8</v>
      </c>
      <c r="CQ24" s="73">
        <v>6</v>
      </c>
      <c r="CR24" s="73">
        <v>1</v>
      </c>
      <c r="CS24" s="73">
        <f t="shared" si="30"/>
        <v>8.94459541900061</v>
      </c>
      <c r="CT24" s="73">
        <f t="shared" si="31"/>
        <v>2148.372000516018</v>
      </c>
      <c r="CU24" s="73"/>
      <c r="CV24" s="73">
        <v>384</v>
      </c>
      <c r="CW24" s="73">
        <f t="shared" si="32"/>
        <v>7</v>
      </c>
      <c r="CX24" s="73">
        <f t="shared" si="33"/>
        <v>6.892307692307693</v>
      </c>
      <c r="CY24" s="73">
        <f t="shared" si="34"/>
        <v>46.08</v>
      </c>
      <c r="CZ24" s="73">
        <v>8</v>
      </c>
      <c r="DA24" s="73">
        <v>6</v>
      </c>
      <c r="DB24" s="73">
        <v>1</v>
      </c>
      <c r="DC24" s="73">
        <f t="shared" si="35"/>
        <v>9.82755468892816</v>
      </c>
      <c r="DD24" s="73">
        <f t="shared" si="67"/>
        <v>2135.5732233635435</v>
      </c>
      <c r="DE24" s="73"/>
      <c r="DF24" s="73">
        <v>234</v>
      </c>
      <c r="DG24" s="73">
        <f t="shared" si="37"/>
        <v>8</v>
      </c>
      <c r="DH24" s="73">
        <f t="shared" si="38"/>
        <v>7.466666666666667</v>
      </c>
      <c r="DI24" s="73">
        <f t="shared" si="39"/>
        <v>46.08</v>
      </c>
      <c r="DJ24" s="73">
        <v>8</v>
      </c>
      <c r="DK24" s="73">
        <v>6</v>
      </c>
      <c r="DL24" s="73">
        <v>1</v>
      </c>
      <c r="DM24" s="73">
        <f t="shared" si="40"/>
        <v>10.957266118622188</v>
      </c>
      <c r="DN24" s="73">
        <f t="shared" si="41"/>
        <v>2362.997353528898</v>
      </c>
      <c r="DO24" s="73"/>
      <c r="DP24" s="73">
        <v>477</v>
      </c>
      <c r="DQ24" s="73">
        <f t="shared" si="42"/>
        <v>9.333333333333334</v>
      </c>
      <c r="DR24" s="73">
        <f t="shared" si="43"/>
        <v>7.466666666666667</v>
      </c>
      <c r="DS24" s="73">
        <f t="shared" si="44"/>
        <v>46.08</v>
      </c>
      <c r="DT24" s="73">
        <v>8</v>
      </c>
      <c r="DU24" s="73">
        <v>6</v>
      </c>
      <c r="DV24" s="73">
        <v>1</v>
      </c>
      <c r="DW24" s="73">
        <f t="shared" si="45"/>
        <v>11.88766860765092</v>
      </c>
      <c r="DX24" s="73">
        <f t="shared" si="46"/>
        <v>2599.0418311306103</v>
      </c>
      <c r="DY24" s="73"/>
      <c r="DZ24" s="92">
        <v>9999</v>
      </c>
      <c r="EA24" s="73">
        <f t="shared" si="47"/>
        <v>9.333333333333334</v>
      </c>
      <c r="EB24" s="73">
        <f t="shared" si="48"/>
        <v>7.466666666666667</v>
      </c>
      <c r="EC24" s="73">
        <f t="shared" si="49"/>
        <v>46.08</v>
      </c>
      <c r="ED24" s="73">
        <v>8</v>
      </c>
      <c r="EE24" s="73">
        <v>6</v>
      </c>
      <c r="EF24" s="73">
        <v>1</v>
      </c>
      <c r="EG24" s="73">
        <f t="shared" si="50"/>
        <v>11.88766860765092</v>
      </c>
      <c r="EH24" s="73">
        <f t="shared" si="51"/>
        <v>2599.0418311306103</v>
      </c>
      <c r="EI24" s="73"/>
      <c r="EJ24" s="73">
        <v>548</v>
      </c>
      <c r="EK24" s="73">
        <f t="shared" si="52"/>
        <v>14</v>
      </c>
      <c r="EL24" s="73">
        <f t="shared" si="53"/>
        <v>8.145454545454545</v>
      </c>
      <c r="EM24" s="73">
        <f t="shared" si="54"/>
        <v>46.08</v>
      </c>
      <c r="EN24" s="73">
        <v>8</v>
      </c>
      <c r="EO24" s="73">
        <v>6</v>
      </c>
      <c r="EP24" s="73">
        <v>1</v>
      </c>
      <c r="EQ24" s="73">
        <f t="shared" si="55"/>
        <v>15.04056700550219</v>
      </c>
      <c r="ER24" s="73">
        <f t="shared" si="56"/>
        <v>3234.6631585742257</v>
      </c>
      <c r="ES24" s="73"/>
      <c r="ET24" s="73">
        <v>50</v>
      </c>
      <c r="EU24" s="73">
        <v>0</v>
      </c>
      <c r="EV24" s="73">
        <v>0</v>
      </c>
      <c r="EW24" s="73">
        <v>0</v>
      </c>
      <c r="EX24" s="73">
        <v>50</v>
      </c>
      <c r="EY24" s="73">
        <v>0</v>
      </c>
      <c r="EZ24" s="73">
        <v>0</v>
      </c>
      <c r="FA24" s="73">
        <v>0</v>
      </c>
      <c r="FB24" s="73">
        <v>0</v>
      </c>
      <c r="FC24" s="92">
        <f t="shared" si="57"/>
        <v>1745.4824043776146</v>
      </c>
    </row>
    <row r="25" spans="1:159" s="17" customFormat="1" ht="17.25">
      <c r="A25" s="71">
        <v>21</v>
      </c>
      <c r="B25" s="72" t="s">
        <v>35</v>
      </c>
      <c r="C25" s="75">
        <v>1</v>
      </c>
      <c r="D25" s="72">
        <v>4</v>
      </c>
      <c r="E25" s="75">
        <v>750</v>
      </c>
      <c r="F25" s="75">
        <v>2000</v>
      </c>
      <c r="G25" s="72">
        <f t="shared" si="0"/>
        <v>750</v>
      </c>
      <c r="H25" s="72">
        <v>128</v>
      </c>
      <c r="I25" s="72">
        <v>32</v>
      </c>
      <c r="J25" s="72">
        <v>32</v>
      </c>
      <c r="K25" s="72">
        <v>8</v>
      </c>
      <c r="L25" s="72" t="s">
        <v>25</v>
      </c>
      <c r="M25" s="72">
        <v>320</v>
      </c>
      <c r="N25" s="72" t="s">
        <v>25</v>
      </c>
      <c r="O25" s="72" t="s">
        <v>21</v>
      </c>
      <c r="P25" s="77">
        <f t="shared" si="58"/>
        <v>181.58234165019041</v>
      </c>
      <c r="Q25" s="78">
        <f t="shared" si="1"/>
        <v>1471.2752203110256</v>
      </c>
      <c r="R25" s="78"/>
      <c r="S25" s="89">
        <v>512</v>
      </c>
      <c r="T25" s="90">
        <v>8</v>
      </c>
      <c r="U25" s="90">
        <v>65</v>
      </c>
      <c r="V25" s="72" t="s">
        <v>37</v>
      </c>
      <c r="W25" s="94" t="s">
        <v>27</v>
      </c>
      <c r="X25" s="94" t="s">
        <v>28</v>
      </c>
      <c r="Y25" s="72" t="s">
        <v>23</v>
      </c>
      <c r="Z25" s="95">
        <v>6.7</v>
      </c>
      <c r="AA25" s="124" t="s">
        <v>559</v>
      </c>
      <c r="AB25" s="72">
        <v>10.1</v>
      </c>
      <c r="AC25" s="82">
        <v>3</v>
      </c>
      <c r="AD25" s="83">
        <v>144</v>
      </c>
      <c r="AE25" s="84">
        <f>514*C25</f>
        <v>514</v>
      </c>
      <c r="AF25" s="85">
        <v>55</v>
      </c>
      <c r="AG25" s="72"/>
      <c r="AH25" s="73"/>
      <c r="AI25" s="73">
        <f t="shared" si="61"/>
        <v>48</v>
      </c>
      <c r="AJ25" s="42">
        <f t="shared" si="62"/>
        <v>48</v>
      </c>
      <c r="AK25" s="73">
        <f t="shared" si="63"/>
        <v>6</v>
      </c>
      <c r="AL25" s="73">
        <f t="shared" si="64"/>
        <v>40</v>
      </c>
      <c r="AM25" s="92">
        <f t="shared" si="65"/>
        <v>26.94736842105263</v>
      </c>
      <c r="AN25" s="73">
        <f t="shared" si="68"/>
        <v>1</v>
      </c>
      <c r="AO25" s="73">
        <v>2</v>
      </c>
      <c r="AP25" s="73">
        <v>1</v>
      </c>
      <c r="AQ25" s="73">
        <v>1</v>
      </c>
      <c r="AR25" s="87">
        <v>5</v>
      </c>
      <c r="AS25" s="87">
        <v>5</v>
      </c>
      <c r="AT25" s="73">
        <v>1</v>
      </c>
      <c r="AU25" s="73">
        <v>1</v>
      </c>
      <c r="AV25" s="73">
        <v>2.8</v>
      </c>
      <c r="AW25" s="73">
        <f t="shared" si="8"/>
        <v>48</v>
      </c>
      <c r="AX25" s="73">
        <f t="shared" si="9"/>
        <v>22.153846153846153</v>
      </c>
      <c r="AY25" s="73">
        <f aca="true" t="shared" si="69" ref="AY25:AY72">AX25*AL25*(AS25+AT25)/(AX25*AS25+AL25*AT25)</f>
        <v>35.26530612244898</v>
      </c>
      <c r="AZ25" s="73">
        <f t="shared" si="11"/>
        <v>32.615919533093255</v>
      </c>
      <c r="BA25" s="73"/>
      <c r="BB25" s="73">
        <v>0.02</v>
      </c>
      <c r="BC25" s="73">
        <f t="shared" si="60"/>
        <v>31.96360114243139</v>
      </c>
      <c r="BD25" s="73">
        <v>4.840412061378459</v>
      </c>
      <c r="BE25" s="87">
        <v>5.680910008889502</v>
      </c>
      <c r="BF25" s="73"/>
      <c r="BG25" s="73"/>
      <c r="BH25" s="92">
        <v>511</v>
      </c>
      <c r="BI25" s="92">
        <f t="shared" si="12"/>
        <v>4</v>
      </c>
      <c r="BJ25" s="87">
        <f t="shared" si="13"/>
        <v>6</v>
      </c>
      <c r="BK25" s="87">
        <f t="shared" si="14"/>
        <v>26.94736842105263</v>
      </c>
      <c r="BL25" s="87">
        <v>8</v>
      </c>
      <c r="BM25" s="87">
        <v>6</v>
      </c>
      <c r="BN25" s="87">
        <v>1</v>
      </c>
      <c r="BO25" s="93">
        <f t="shared" si="15"/>
        <v>6.585209003215434</v>
      </c>
      <c r="BP25" s="73">
        <f t="shared" si="66"/>
        <v>1378.3798672237165</v>
      </c>
      <c r="BQ25" s="73"/>
      <c r="BR25" s="92">
        <v>111</v>
      </c>
      <c r="BS25" s="92">
        <f t="shared" si="17"/>
        <v>3.75</v>
      </c>
      <c r="BT25" s="87">
        <f t="shared" si="18"/>
        <v>6</v>
      </c>
      <c r="BU25" s="92">
        <f t="shared" si="19"/>
        <v>26.94736842105263</v>
      </c>
      <c r="BV25" s="87">
        <v>8</v>
      </c>
      <c r="BW25" s="87">
        <v>6</v>
      </c>
      <c r="BX25" s="87">
        <v>1</v>
      </c>
      <c r="BY25" s="93">
        <f t="shared" si="20"/>
        <v>6.30826727997043</v>
      </c>
      <c r="BZ25" s="92">
        <f t="shared" si="21"/>
        <v>1719.0086966168249</v>
      </c>
      <c r="CA25" s="73"/>
      <c r="CB25" s="92">
        <v>122</v>
      </c>
      <c r="CC25" s="92">
        <f t="shared" si="22"/>
        <v>10</v>
      </c>
      <c r="CD25" s="87">
        <f t="shared" si="23"/>
        <v>2.6666666666666665</v>
      </c>
      <c r="CE25" s="92">
        <f t="shared" si="24"/>
        <v>26.94736842105263</v>
      </c>
      <c r="CF25" s="87">
        <v>8</v>
      </c>
      <c r="CG25" s="87">
        <v>6</v>
      </c>
      <c r="CH25" s="87">
        <v>1</v>
      </c>
      <c r="CI25" s="93">
        <f t="shared" si="25"/>
        <v>6.478552448437303</v>
      </c>
      <c r="CJ25" s="92">
        <f t="shared" si="26"/>
        <v>1762.1229777215633</v>
      </c>
      <c r="CK25" s="73"/>
      <c r="CL25" s="92">
        <v>388</v>
      </c>
      <c r="CM25" s="92">
        <f t="shared" si="27"/>
        <v>7.5</v>
      </c>
      <c r="CN25" s="92">
        <f t="shared" si="28"/>
        <v>3</v>
      </c>
      <c r="CO25" s="92">
        <f t="shared" si="29"/>
        <v>26.94736842105263</v>
      </c>
      <c r="CP25" s="92">
        <v>8</v>
      </c>
      <c r="CQ25" s="92">
        <v>6</v>
      </c>
      <c r="CR25" s="92">
        <v>1</v>
      </c>
      <c r="CS25" s="92">
        <f t="shared" si="30"/>
        <v>6.443763896463482</v>
      </c>
      <c r="CT25" s="92">
        <f t="shared" si="31"/>
        <v>1583.6451578260453</v>
      </c>
      <c r="CU25" s="73"/>
      <c r="CV25" s="92">
        <v>384</v>
      </c>
      <c r="CW25" s="92">
        <f t="shared" si="32"/>
        <v>7.5</v>
      </c>
      <c r="CX25" s="92">
        <f t="shared" si="33"/>
        <v>3.6923076923076925</v>
      </c>
      <c r="CY25" s="92">
        <f t="shared" si="34"/>
        <v>26.94736842105263</v>
      </c>
      <c r="CZ25" s="92">
        <v>8</v>
      </c>
      <c r="DA25" s="92">
        <v>6</v>
      </c>
      <c r="DB25" s="92">
        <v>1</v>
      </c>
      <c r="DC25" s="92">
        <f t="shared" si="35"/>
        <v>7.329293314882856</v>
      </c>
      <c r="DD25" s="92">
        <f t="shared" si="67"/>
        <v>1625.7281868011796</v>
      </c>
      <c r="DE25" s="73"/>
      <c r="DF25" s="92">
        <v>234</v>
      </c>
      <c r="DG25" s="92">
        <f t="shared" si="37"/>
        <v>8.571428571428571</v>
      </c>
      <c r="DH25" s="92">
        <f t="shared" si="38"/>
        <v>4</v>
      </c>
      <c r="DI25" s="92">
        <f t="shared" si="39"/>
        <v>26.94736842105263</v>
      </c>
      <c r="DJ25" s="92">
        <v>8</v>
      </c>
      <c r="DK25" s="92">
        <v>6</v>
      </c>
      <c r="DL25" s="92">
        <v>1</v>
      </c>
      <c r="DM25" s="92">
        <f t="shared" si="40"/>
        <v>8.095714963368998</v>
      </c>
      <c r="DN25" s="92">
        <f t="shared" si="41"/>
        <v>1783.271729913935</v>
      </c>
      <c r="DO25" s="73"/>
      <c r="DP25" s="92">
        <v>477</v>
      </c>
      <c r="DQ25" s="92">
        <f t="shared" si="42"/>
        <v>10</v>
      </c>
      <c r="DR25" s="92">
        <f t="shared" si="43"/>
        <v>4</v>
      </c>
      <c r="DS25" s="92">
        <f t="shared" si="44"/>
        <v>26.94736842105263</v>
      </c>
      <c r="DT25" s="92">
        <v>8</v>
      </c>
      <c r="DU25" s="92">
        <v>6</v>
      </c>
      <c r="DV25" s="92">
        <v>1</v>
      </c>
      <c r="DW25" s="92">
        <f t="shared" si="45"/>
        <v>8.557579809460139</v>
      </c>
      <c r="DX25" s="92">
        <f t="shared" si="46"/>
        <v>1914.5192570972363</v>
      </c>
      <c r="DY25" s="73"/>
      <c r="DZ25" s="92">
        <v>9999</v>
      </c>
      <c r="EA25" s="73">
        <f t="shared" si="47"/>
        <v>10</v>
      </c>
      <c r="EB25" s="73">
        <f t="shared" si="48"/>
        <v>4</v>
      </c>
      <c r="EC25" s="73">
        <f t="shared" si="49"/>
        <v>26.94736842105263</v>
      </c>
      <c r="ED25" s="92">
        <v>8</v>
      </c>
      <c r="EE25" s="92">
        <v>6</v>
      </c>
      <c r="EF25" s="92">
        <v>1</v>
      </c>
      <c r="EG25" s="92">
        <f t="shared" si="50"/>
        <v>8.557579809460139</v>
      </c>
      <c r="EH25" s="92">
        <f t="shared" si="51"/>
        <v>1914.5192570972363</v>
      </c>
      <c r="EI25" s="73"/>
      <c r="EJ25" s="92">
        <v>548</v>
      </c>
      <c r="EK25" s="92">
        <f t="shared" si="52"/>
        <v>15</v>
      </c>
      <c r="EL25" s="92">
        <f t="shared" si="53"/>
        <v>4.363636363636363</v>
      </c>
      <c r="EM25" s="92">
        <f t="shared" si="54"/>
        <v>26.94736842105263</v>
      </c>
      <c r="EN25" s="92">
        <v>8</v>
      </c>
      <c r="EO25" s="92">
        <v>6</v>
      </c>
      <c r="EP25" s="92">
        <v>1</v>
      </c>
      <c r="EQ25" s="92">
        <f t="shared" si="55"/>
        <v>10.280436383106888</v>
      </c>
      <c r="ER25" s="92">
        <f t="shared" si="56"/>
        <v>2270.6180683954467</v>
      </c>
      <c r="ES25" s="73"/>
      <c r="ET25" s="73">
        <v>50</v>
      </c>
      <c r="EU25" s="73">
        <v>0</v>
      </c>
      <c r="EV25" s="73">
        <v>0</v>
      </c>
      <c r="EW25" s="73">
        <v>0</v>
      </c>
      <c r="EX25" s="73">
        <v>50</v>
      </c>
      <c r="EY25" s="73">
        <v>0</v>
      </c>
      <c r="EZ25" s="73">
        <v>0</v>
      </c>
      <c r="FA25" s="73">
        <v>0</v>
      </c>
      <c r="FB25" s="73">
        <v>0</v>
      </c>
      <c r="FC25" s="92">
        <f t="shared" si="57"/>
        <v>1471.2752203110256</v>
      </c>
    </row>
    <row r="26" spans="1:159" s="17" customFormat="1" ht="17.25">
      <c r="A26" s="71">
        <v>22</v>
      </c>
      <c r="B26" s="72" t="s">
        <v>309</v>
      </c>
      <c r="C26" s="75">
        <v>1</v>
      </c>
      <c r="D26" s="72">
        <v>4</v>
      </c>
      <c r="E26" s="75">
        <v>600</v>
      </c>
      <c r="F26" s="75">
        <v>1000</v>
      </c>
      <c r="G26" s="72">
        <f t="shared" si="0"/>
        <v>600</v>
      </c>
      <c r="H26" s="72">
        <v>128</v>
      </c>
      <c r="I26" s="72">
        <v>32</v>
      </c>
      <c r="J26" s="72">
        <v>32</v>
      </c>
      <c r="K26" s="72">
        <v>8</v>
      </c>
      <c r="L26" s="72" t="s">
        <v>25</v>
      </c>
      <c r="M26" s="72">
        <v>320</v>
      </c>
      <c r="N26" s="72" t="s">
        <v>25</v>
      </c>
      <c r="O26" s="72" t="s">
        <v>21</v>
      </c>
      <c r="P26" s="77">
        <f t="shared" si="58"/>
        <v>123.34733001341068</v>
      </c>
      <c r="Q26" s="78">
        <f t="shared" si="1"/>
        <v>1184.8850038424334</v>
      </c>
      <c r="R26" s="78"/>
      <c r="S26" s="89">
        <v>512</v>
      </c>
      <c r="T26" s="90">
        <v>8</v>
      </c>
      <c r="U26" s="90">
        <v>40</v>
      </c>
      <c r="V26" s="72" t="s">
        <v>37</v>
      </c>
      <c r="W26" s="94" t="s">
        <v>27</v>
      </c>
      <c r="X26" s="94" t="s">
        <v>28</v>
      </c>
      <c r="Y26" s="72" t="s">
        <v>23</v>
      </c>
      <c r="Z26" s="95">
        <v>6.7</v>
      </c>
      <c r="AA26" s="124" t="s">
        <v>559</v>
      </c>
      <c r="AB26" s="72">
        <v>10.1</v>
      </c>
      <c r="AC26" s="82">
        <v>2</v>
      </c>
      <c r="AD26" s="83">
        <v>144</v>
      </c>
      <c r="AE26" s="84">
        <f>514*C26</f>
        <v>514</v>
      </c>
      <c r="AF26" s="85">
        <v>55</v>
      </c>
      <c r="AG26" s="72"/>
      <c r="AH26" s="73"/>
      <c r="AI26" s="73">
        <f t="shared" si="61"/>
        <v>38.4</v>
      </c>
      <c r="AJ26" s="42">
        <f t="shared" si="62"/>
        <v>38.4</v>
      </c>
      <c r="AK26" s="73">
        <f t="shared" si="63"/>
        <v>4.8</v>
      </c>
      <c r="AL26" s="73">
        <f t="shared" si="64"/>
        <v>32</v>
      </c>
      <c r="AM26" s="92">
        <f t="shared" si="65"/>
        <v>13.837837837837839</v>
      </c>
      <c r="AN26" s="73">
        <f t="shared" si="68"/>
        <v>1</v>
      </c>
      <c r="AO26" s="73">
        <v>2</v>
      </c>
      <c r="AP26" s="73">
        <v>1</v>
      </c>
      <c r="AQ26" s="73">
        <v>1</v>
      </c>
      <c r="AR26" s="87">
        <v>5</v>
      </c>
      <c r="AS26" s="87">
        <v>5</v>
      </c>
      <c r="AT26" s="73">
        <v>1</v>
      </c>
      <c r="AU26" s="73">
        <v>1</v>
      </c>
      <c r="AV26" s="73">
        <v>2.8</v>
      </c>
      <c r="AW26" s="73">
        <f t="shared" si="8"/>
        <v>38.400000000000006</v>
      </c>
      <c r="AX26" s="73">
        <f t="shared" si="9"/>
        <v>17.723076923076924</v>
      </c>
      <c r="AY26" s="73">
        <f t="shared" si="69"/>
        <v>28.212244897959184</v>
      </c>
      <c r="AZ26" s="73">
        <f t="shared" si="11"/>
        <v>22.155714888232815</v>
      </c>
      <c r="BA26" s="73"/>
      <c r="BB26" s="73">
        <v>0.02</v>
      </c>
      <c r="BC26" s="73">
        <f t="shared" si="60"/>
        <v>21.71260059046816</v>
      </c>
      <c r="BD26" s="73">
        <v>4.840412061378459</v>
      </c>
      <c r="BE26" s="87">
        <v>5.680910008889502</v>
      </c>
      <c r="BF26" s="73"/>
      <c r="BG26" s="73"/>
      <c r="BH26" s="92">
        <v>511</v>
      </c>
      <c r="BI26" s="92">
        <f t="shared" si="12"/>
        <v>3.2</v>
      </c>
      <c r="BJ26" s="87">
        <f t="shared" si="13"/>
        <v>4.8</v>
      </c>
      <c r="BK26" s="87">
        <f t="shared" si="14"/>
        <v>13.837837837837839</v>
      </c>
      <c r="BL26" s="87">
        <v>8</v>
      </c>
      <c r="BM26" s="87">
        <v>6</v>
      </c>
      <c r="BN26" s="87">
        <v>1</v>
      </c>
      <c r="BO26" s="93">
        <f t="shared" si="15"/>
        <v>5.232498722534491</v>
      </c>
      <c r="BP26" s="73">
        <f t="shared" si="66"/>
        <v>1107.9024185861408</v>
      </c>
      <c r="BQ26" s="73"/>
      <c r="BR26" s="92">
        <v>111</v>
      </c>
      <c r="BS26" s="92">
        <f t="shared" si="17"/>
        <v>3</v>
      </c>
      <c r="BT26" s="87">
        <f t="shared" si="18"/>
        <v>4.8</v>
      </c>
      <c r="BU26" s="92">
        <f t="shared" si="19"/>
        <v>13.837837837837839</v>
      </c>
      <c r="BV26" s="87">
        <v>8</v>
      </c>
      <c r="BW26" s="87">
        <v>6</v>
      </c>
      <c r="BX26" s="87">
        <v>1</v>
      </c>
      <c r="BY26" s="93">
        <f t="shared" si="20"/>
        <v>5.01387302105435</v>
      </c>
      <c r="BZ26" s="92">
        <f t="shared" si="21"/>
        <v>1388.4264920493451</v>
      </c>
      <c r="CA26" s="73"/>
      <c r="CB26" s="92">
        <v>122</v>
      </c>
      <c r="CC26" s="92">
        <f t="shared" si="22"/>
        <v>8</v>
      </c>
      <c r="CD26" s="87">
        <f t="shared" si="23"/>
        <v>2.1333333333333333</v>
      </c>
      <c r="CE26" s="92">
        <f t="shared" si="24"/>
        <v>13.837837837837839</v>
      </c>
      <c r="CF26" s="87">
        <v>8</v>
      </c>
      <c r="CG26" s="87">
        <v>6</v>
      </c>
      <c r="CH26" s="87">
        <v>1</v>
      </c>
      <c r="CI26" s="93">
        <f t="shared" si="25"/>
        <v>5.148315736551031</v>
      </c>
      <c r="CJ26" s="92">
        <f t="shared" si="26"/>
        <v>1423.017710408332</v>
      </c>
      <c r="CK26" s="73"/>
      <c r="CL26" s="92">
        <v>388</v>
      </c>
      <c r="CM26" s="92">
        <f t="shared" si="27"/>
        <v>6</v>
      </c>
      <c r="CN26" s="92">
        <f t="shared" si="28"/>
        <v>2.4</v>
      </c>
      <c r="CO26" s="92">
        <f t="shared" si="29"/>
        <v>13.837837837837839</v>
      </c>
      <c r="CP26" s="92">
        <v>8</v>
      </c>
      <c r="CQ26" s="92">
        <v>6</v>
      </c>
      <c r="CR26" s="92">
        <v>1</v>
      </c>
      <c r="CS26" s="92">
        <f t="shared" si="30"/>
        <v>5.120853475579263</v>
      </c>
      <c r="CT26" s="92">
        <f t="shared" si="31"/>
        <v>1278.928944348715</v>
      </c>
      <c r="CU26" s="73"/>
      <c r="CV26" s="92">
        <v>384</v>
      </c>
      <c r="CW26" s="92">
        <f t="shared" si="32"/>
        <v>6</v>
      </c>
      <c r="CX26" s="92">
        <f t="shared" si="33"/>
        <v>2.953846153846154</v>
      </c>
      <c r="CY26" s="92">
        <f t="shared" si="34"/>
        <v>13.837837837837839</v>
      </c>
      <c r="CZ26" s="92">
        <v>8</v>
      </c>
      <c r="DA26" s="92">
        <v>6</v>
      </c>
      <c r="DB26" s="92">
        <v>1</v>
      </c>
      <c r="DC26" s="92">
        <f t="shared" si="35"/>
        <v>5.819283955294564</v>
      </c>
      <c r="DD26" s="92">
        <f t="shared" si="67"/>
        <v>1311.8037296706234</v>
      </c>
      <c r="DE26" s="73"/>
      <c r="DF26" s="92">
        <v>234</v>
      </c>
      <c r="DG26" s="92">
        <f t="shared" si="37"/>
        <v>6.857142857142857</v>
      </c>
      <c r="DH26" s="92">
        <f t="shared" si="38"/>
        <v>3.2</v>
      </c>
      <c r="DI26" s="92">
        <f t="shared" si="39"/>
        <v>13.837837837837839</v>
      </c>
      <c r="DJ26" s="92">
        <v>8</v>
      </c>
      <c r="DK26" s="92">
        <v>6</v>
      </c>
      <c r="DL26" s="92">
        <v>1</v>
      </c>
      <c r="DM26" s="92">
        <f t="shared" si="40"/>
        <v>6.422747229772109</v>
      </c>
      <c r="DN26" s="92">
        <f t="shared" si="41"/>
        <v>1437.8730796802126</v>
      </c>
      <c r="DO26" s="73"/>
      <c r="DP26" s="92">
        <v>477</v>
      </c>
      <c r="DQ26" s="92">
        <f t="shared" si="42"/>
        <v>8</v>
      </c>
      <c r="DR26" s="92">
        <f t="shared" si="43"/>
        <v>3.2</v>
      </c>
      <c r="DS26" s="92">
        <f t="shared" si="44"/>
        <v>13.837837837837839</v>
      </c>
      <c r="DT26" s="92">
        <v>8</v>
      </c>
      <c r="DU26" s="92">
        <v>6</v>
      </c>
      <c r="DV26" s="92">
        <v>1</v>
      </c>
      <c r="DW26" s="92">
        <f t="shared" si="45"/>
        <v>6.785950960901259</v>
      </c>
      <c r="DX26" s="92">
        <f t="shared" si="46"/>
        <v>1543.0191451847847</v>
      </c>
      <c r="DY26" s="73"/>
      <c r="DZ26" s="92">
        <v>9999</v>
      </c>
      <c r="EA26" s="73">
        <f t="shared" si="47"/>
        <v>8</v>
      </c>
      <c r="EB26" s="73">
        <f t="shared" si="48"/>
        <v>3.2</v>
      </c>
      <c r="EC26" s="73">
        <f t="shared" si="49"/>
        <v>13.837837837837839</v>
      </c>
      <c r="ED26" s="92">
        <v>8</v>
      </c>
      <c r="EE26" s="92">
        <v>6</v>
      </c>
      <c r="EF26" s="92">
        <v>1</v>
      </c>
      <c r="EG26" s="92">
        <f t="shared" si="50"/>
        <v>6.785950960901259</v>
      </c>
      <c r="EH26" s="92">
        <f t="shared" si="51"/>
        <v>1543.0191451847847</v>
      </c>
      <c r="EI26" s="73"/>
      <c r="EJ26" s="92">
        <v>548</v>
      </c>
      <c r="EK26" s="92">
        <f t="shared" si="52"/>
        <v>12</v>
      </c>
      <c r="EL26" s="92">
        <f t="shared" si="53"/>
        <v>3.4909090909090907</v>
      </c>
      <c r="EM26" s="92">
        <f t="shared" si="54"/>
        <v>13.837837837837839</v>
      </c>
      <c r="EN26" s="92">
        <v>8</v>
      </c>
      <c r="EO26" s="92">
        <v>6</v>
      </c>
      <c r="EP26" s="92">
        <v>1</v>
      </c>
      <c r="EQ26" s="92">
        <f t="shared" si="55"/>
        <v>8.137748344370861</v>
      </c>
      <c r="ER26" s="92">
        <f t="shared" si="56"/>
        <v>1827.0158098768125</v>
      </c>
      <c r="ES26" s="73"/>
      <c r="ET26" s="73">
        <v>50</v>
      </c>
      <c r="EU26" s="73">
        <v>0</v>
      </c>
      <c r="EV26" s="73">
        <v>0</v>
      </c>
      <c r="EW26" s="73">
        <v>0</v>
      </c>
      <c r="EX26" s="73">
        <v>50</v>
      </c>
      <c r="EY26" s="73">
        <v>0</v>
      </c>
      <c r="EZ26" s="73">
        <v>0</v>
      </c>
      <c r="FA26" s="73">
        <v>0</v>
      </c>
      <c r="FB26" s="73">
        <v>0</v>
      </c>
      <c r="FC26" s="92">
        <f t="shared" si="57"/>
        <v>1184.8850038424334</v>
      </c>
    </row>
    <row r="27" spans="1:159" s="17" customFormat="1" ht="17.25">
      <c r="A27" s="71">
        <v>23</v>
      </c>
      <c r="B27" s="72" t="s">
        <v>57</v>
      </c>
      <c r="C27" s="75">
        <v>1</v>
      </c>
      <c r="D27" s="72">
        <v>2</v>
      </c>
      <c r="E27" s="75">
        <v>800</v>
      </c>
      <c r="F27" s="75">
        <v>1600</v>
      </c>
      <c r="G27" s="72">
        <f t="shared" si="0"/>
        <v>800</v>
      </c>
      <c r="H27" s="72">
        <v>64</v>
      </c>
      <c r="I27" s="72">
        <v>8</v>
      </c>
      <c r="J27" s="72">
        <v>8</v>
      </c>
      <c r="K27" s="72">
        <v>4</v>
      </c>
      <c r="L27" s="72" t="s">
        <v>25</v>
      </c>
      <c r="M27" s="72">
        <v>80</v>
      </c>
      <c r="N27" s="72" t="s">
        <v>25</v>
      </c>
      <c r="O27" s="72" t="s">
        <v>21</v>
      </c>
      <c r="P27" s="77">
        <f t="shared" si="58"/>
        <v>57.76918902949072</v>
      </c>
      <c r="Q27" s="78">
        <f t="shared" si="1"/>
        <v>580.0888551016119</v>
      </c>
      <c r="R27" s="78"/>
      <c r="S27" s="89">
        <v>512</v>
      </c>
      <c r="T27" s="90">
        <v>9</v>
      </c>
      <c r="U27" s="90">
        <v>20</v>
      </c>
      <c r="V27" s="72" t="s">
        <v>37</v>
      </c>
      <c r="W27" s="94" t="s">
        <v>27</v>
      </c>
      <c r="X27" s="94" t="s">
        <v>28</v>
      </c>
      <c r="Y27" s="72" t="s">
        <v>23</v>
      </c>
      <c r="Z27" s="95">
        <v>6.7</v>
      </c>
      <c r="AA27" s="123" t="s">
        <v>556</v>
      </c>
      <c r="AB27" s="72">
        <v>10.1</v>
      </c>
      <c r="AC27" s="82">
        <v>3</v>
      </c>
      <c r="AD27" s="83">
        <v>73</v>
      </c>
      <c r="AE27" s="84">
        <f>242*C27</f>
        <v>242</v>
      </c>
      <c r="AF27" s="85">
        <v>55</v>
      </c>
      <c r="AG27" s="72"/>
      <c r="AH27" s="73"/>
      <c r="AI27" s="73">
        <f t="shared" si="61"/>
        <v>12.8</v>
      </c>
      <c r="AJ27" s="42">
        <f t="shared" si="62"/>
        <v>12.8</v>
      </c>
      <c r="AK27" s="73">
        <f t="shared" si="63"/>
        <v>3.2</v>
      </c>
      <c r="AL27" s="73">
        <f t="shared" si="64"/>
        <v>10.666666666666666</v>
      </c>
      <c r="AM27" s="92">
        <f t="shared" si="65"/>
        <v>10.778947368421052</v>
      </c>
      <c r="AN27" s="73">
        <f t="shared" si="68"/>
        <v>1</v>
      </c>
      <c r="AO27" s="73">
        <v>2</v>
      </c>
      <c r="AP27" s="73">
        <v>1</v>
      </c>
      <c r="AQ27" s="73">
        <v>1</v>
      </c>
      <c r="AR27" s="87">
        <v>5</v>
      </c>
      <c r="AS27" s="87">
        <v>5</v>
      </c>
      <c r="AT27" s="73">
        <v>1</v>
      </c>
      <c r="AU27" s="73">
        <v>1</v>
      </c>
      <c r="AV27" s="73">
        <v>2.8</v>
      </c>
      <c r="AW27" s="73">
        <f t="shared" si="8"/>
        <v>12.8</v>
      </c>
      <c r="AX27" s="73">
        <f t="shared" si="9"/>
        <v>8.533333333333335</v>
      </c>
      <c r="AY27" s="73">
        <f t="shared" si="69"/>
        <v>10.240000000000002</v>
      </c>
      <c r="AZ27" s="73">
        <f t="shared" si="11"/>
        <v>10.376533333333336</v>
      </c>
      <c r="BA27" s="73"/>
      <c r="BB27" s="73">
        <v>0.02</v>
      </c>
      <c r="BC27" s="73">
        <f t="shared" si="60"/>
        <v>10.16900266666667</v>
      </c>
      <c r="BD27" s="73">
        <v>4.840412061378459</v>
      </c>
      <c r="BE27" s="87">
        <v>5.680910008889502</v>
      </c>
      <c r="BF27" s="73"/>
      <c r="BG27" s="73"/>
      <c r="BH27" s="92">
        <v>511</v>
      </c>
      <c r="BI27" s="92">
        <f t="shared" si="12"/>
        <v>2.1333333333333333</v>
      </c>
      <c r="BJ27" s="87">
        <f t="shared" si="13"/>
        <v>1.6</v>
      </c>
      <c r="BK27" s="87">
        <f t="shared" si="14"/>
        <v>10.778947368421052</v>
      </c>
      <c r="BL27" s="87">
        <v>8</v>
      </c>
      <c r="BM27" s="87">
        <v>6</v>
      </c>
      <c r="BN27" s="87">
        <v>1</v>
      </c>
      <c r="BO27" s="93">
        <f t="shared" si="15"/>
        <v>2.6340836012861737</v>
      </c>
      <c r="BP27" s="73">
        <f t="shared" si="66"/>
        <v>577.1994557146181</v>
      </c>
      <c r="BQ27" s="73"/>
      <c r="BR27" s="92">
        <v>111</v>
      </c>
      <c r="BS27" s="92">
        <f t="shared" si="17"/>
        <v>2</v>
      </c>
      <c r="BT27" s="87">
        <f t="shared" si="18"/>
        <v>1.6</v>
      </c>
      <c r="BU27" s="92">
        <f t="shared" si="19"/>
        <v>10.778947368421052</v>
      </c>
      <c r="BV27" s="87">
        <v>8</v>
      </c>
      <c r="BW27" s="87">
        <v>6</v>
      </c>
      <c r="BX27" s="87">
        <v>1</v>
      </c>
      <c r="BY27" s="93">
        <f t="shared" si="20"/>
        <v>2.5501182916199725</v>
      </c>
      <c r="BZ27" s="92">
        <f t="shared" si="21"/>
        <v>740.3938409765891</v>
      </c>
      <c r="CA27" s="73"/>
      <c r="CB27" s="92">
        <v>122</v>
      </c>
      <c r="CC27" s="92">
        <f t="shared" si="22"/>
        <v>5.333333333333333</v>
      </c>
      <c r="CD27" s="87">
        <f t="shared" si="23"/>
        <v>0.7111111111111111</v>
      </c>
      <c r="CE27" s="92">
        <f t="shared" si="24"/>
        <v>10.778947368421052</v>
      </c>
      <c r="CF27" s="87">
        <v>8</v>
      </c>
      <c r="CG27" s="87">
        <v>6</v>
      </c>
      <c r="CH27" s="87">
        <v>1</v>
      </c>
      <c r="CI27" s="93">
        <f t="shared" si="25"/>
        <v>1.99396358679778</v>
      </c>
      <c r="CJ27" s="92">
        <f t="shared" si="26"/>
        <v>588.9775095327896</v>
      </c>
      <c r="CK27" s="73"/>
      <c r="CL27" s="92">
        <v>388</v>
      </c>
      <c r="CM27" s="92">
        <f t="shared" si="27"/>
        <v>4</v>
      </c>
      <c r="CN27" s="92">
        <f t="shared" si="28"/>
        <v>0.8</v>
      </c>
      <c r="CO27" s="92">
        <f t="shared" si="29"/>
        <v>10.778947368421052</v>
      </c>
      <c r="CP27" s="92">
        <v>8</v>
      </c>
      <c r="CQ27" s="92">
        <v>6</v>
      </c>
      <c r="CR27" s="92">
        <v>1</v>
      </c>
      <c r="CS27" s="92">
        <f t="shared" si="30"/>
        <v>2.084902779191693</v>
      </c>
      <c r="CT27" s="92">
        <f t="shared" si="31"/>
        <v>554.5080214959984</v>
      </c>
      <c r="CU27" s="73"/>
      <c r="CV27" s="92">
        <v>384</v>
      </c>
      <c r="CW27" s="92">
        <f t="shared" si="32"/>
        <v>4</v>
      </c>
      <c r="CX27" s="92">
        <f t="shared" si="33"/>
        <v>0.9846153846153847</v>
      </c>
      <c r="CY27" s="92">
        <f t="shared" si="34"/>
        <v>10.778947368421052</v>
      </c>
      <c r="CZ27" s="92">
        <v>8</v>
      </c>
      <c r="DA27" s="92">
        <v>6</v>
      </c>
      <c r="DB27" s="92">
        <v>1</v>
      </c>
      <c r="DC27" s="92">
        <f t="shared" si="35"/>
        <v>2.443039484671359</v>
      </c>
      <c r="DD27" s="92">
        <f t="shared" si="67"/>
        <v>585.2151122313608</v>
      </c>
      <c r="DE27" s="73"/>
      <c r="DF27" s="92">
        <v>234</v>
      </c>
      <c r="DG27" s="92">
        <f t="shared" si="37"/>
        <v>4.571428571428571</v>
      </c>
      <c r="DH27" s="92">
        <f t="shared" si="38"/>
        <v>1.0666666666666667</v>
      </c>
      <c r="DI27" s="92">
        <f t="shared" si="39"/>
        <v>10.778947368421052</v>
      </c>
      <c r="DJ27" s="92">
        <v>8</v>
      </c>
      <c r="DK27" s="92">
        <v>6</v>
      </c>
      <c r="DL27" s="92">
        <v>1</v>
      </c>
      <c r="DM27" s="92">
        <f t="shared" si="40"/>
        <v>2.67817444749575</v>
      </c>
      <c r="DN27" s="92">
        <f t="shared" si="41"/>
        <v>637.4268046720557</v>
      </c>
      <c r="DO27" s="73"/>
      <c r="DP27" s="92">
        <v>477</v>
      </c>
      <c r="DQ27" s="92">
        <f t="shared" si="42"/>
        <v>5.333333333333333</v>
      </c>
      <c r="DR27" s="92">
        <f t="shared" si="43"/>
        <v>1.0666666666666667</v>
      </c>
      <c r="DS27" s="92">
        <f t="shared" si="44"/>
        <v>10.778947368421052</v>
      </c>
      <c r="DT27" s="92">
        <v>8</v>
      </c>
      <c r="DU27" s="92">
        <v>6</v>
      </c>
      <c r="DV27" s="92">
        <v>1</v>
      </c>
      <c r="DW27" s="92">
        <f t="shared" si="45"/>
        <v>2.7709376268434585</v>
      </c>
      <c r="DX27" s="92">
        <f t="shared" si="46"/>
        <v>670.8357911461777</v>
      </c>
      <c r="DY27" s="73"/>
      <c r="DZ27" s="92">
        <v>9999</v>
      </c>
      <c r="EA27" s="73">
        <f t="shared" si="47"/>
        <v>5.333333333333333</v>
      </c>
      <c r="EB27" s="73">
        <f t="shared" si="48"/>
        <v>1.0666666666666667</v>
      </c>
      <c r="EC27" s="73">
        <f t="shared" si="49"/>
        <v>10.778947368421052</v>
      </c>
      <c r="ED27" s="92">
        <v>8</v>
      </c>
      <c r="EE27" s="92">
        <v>6</v>
      </c>
      <c r="EF27" s="92">
        <v>1</v>
      </c>
      <c r="EG27" s="92">
        <f t="shared" si="50"/>
        <v>2.7709376268434585</v>
      </c>
      <c r="EH27" s="92">
        <f t="shared" si="51"/>
        <v>670.8357911461777</v>
      </c>
      <c r="EI27" s="73"/>
      <c r="EJ27" s="92">
        <v>548</v>
      </c>
      <c r="EK27" s="92">
        <f t="shared" si="52"/>
        <v>8</v>
      </c>
      <c r="EL27" s="92">
        <f t="shared" si="53"/>
        <v>1.1636363636363636</v>
      </c>
      <c r="EM27" s="92">
        <f t="shared" si="54"/>
        <v>10.778947368421052</v>
      </c>
      <c r="EN27" s="92">
        <v>8</v>
      </c>
      <c r="EO27" s="92">
        <v>6</v>
      </c>
      <c r="EP27" s="92">
        <v>1</v>
      </c>
      <c r="EQ27" s="92">
        <f t="shared" si="55"/>
        <v>3.200500078137209</v>
      </c>
      <c r="ER27" s="92">
        <f t="shared" si="56"/>
        <v>767.0540037796085</v>
      </c>
      <c r="ES27" s="73"/>
      <c r="ET27" s="73">
        <v>50</v>
      </c>
      <c r="EU27" s="73">
        <v>0</v>
      </c>
      <c r="EV27" s="73">
        <v>0</v>
      </c>
      <c r="EW27" s="73">
        <v>0</v>
      </c>
      <c r="EX27" s="73">
        <v>50</v>
      </c>
      <c r="EY27" s="73">
        <v>0</v>
      </c>
      <c r="EZ27" s="73">
        <v>0</v>
      </c>
      <c r="FA27" s="73">
        <v>0</v>
      </c>
      <c r="FB27" s="73">
        <v>0</v>
      </c>
      <c r="FC27" s="92">
        <f t="shared" si="57"/>
        <v>580.0888551016119</v>
      </c>
    </row>
    <row r="28" spans="1:159" s="17" customFormat="1" ht="17.25">
      <c r="A28" s="71">
        <v>24</v>
      </c>
      <c r="B28" s="72" t="s">
        <v>431</v>
      </c>
      <c r="C28" s="75">
        <v>1</v>
      </c>
      <c r="D28" s="72">
        <v>2</v>
      </c>
      <c r="E28" s="75">
        <v>800</v>
      </c>
      <c r="F28" s="75">
        <v>1000</v>
      </c>
      <c r="G28" s="72">
        <f t="shared" si="0"/>
        <v>800</v>
      </c>
      <c r="H28" s="72">
        <v>64</v>
      </c>
      <c r="I28" s="72">
        <v>8</v>
      </c>
      <c r="J28" s="72">
        <v>8</v>
      </c>
      <c r="K28" s="72">
        <v>4</v>
      </c>
      <c r="L28" s="72" t="s">
        <v>25</v>
      </c>
      <c r="M28" s="72">
        <v>80</v>
      </c>
      <c r="N28" s="72" t="s">
        <v>25</v>
      </c>
      <c r="O28" s="72" t="s">
        <v>21</v>
      </c>
      <c r="P28" s="77">
        <f t="shared" si="58"/>
        <v>50.61552777116592</v>
      </c>
      <c r="Q28" s="78">
        <f t="shared" si="1"/>
        <v>576.505674862051</v>
      </c>
      <c r="R28" s="78"/>
      <c r="S28" s="79">
        <v>256</v>
      </c>
      <c r="T28" s="90">
        <v>7</v>
      </c>
      <c r="U28" s="90">
        <v>15</v>
      </c>
      <c r="V28" s="72" t="s">
        <v>37</v>
      </c>
      <c r="W28" s="94" t="s">
        <v>27</v>
      </c>
      <c r="X28" s="94" t="s">
        <v>28</v>
      </c>
      <c r="Y28" s="72" t="s">
        <v>23</v>
      </c>
      <c r="Z28" s="95">
        <v>6.7</v>
      </c>
      <c r="AA28" s="123" t="s">
        <v>556</v>
      </c>
      <c r="AB28" s="72">
        <v>10.1</v>
      </c>
      <c r="AC28" s="82">
        <v>2</v>
      </c>
      <c r="AD28" s="83">
        <v>73</v>
      </c>
      <c r="AE28" s="84">
        <f>242*C28</f>
        <v>242</v>
      </c>
      <c r="AF28" s="85">
        <v>55</v>
      </c>
      <c r="AG28" s="72"/>
      <c r="AH28" s="73"/>
      <c r="AI28" s="73">
        <f t="shared" si="61"/>
        <v>12.8</v>
      </c>
      <c r="AJ28" s="42">
        <f t="shared" si="62"/>
        <v>12.8</v>
      </c>
      <c r="AK28" s="73">
        <f t="shared" si="63"/>
        <v>3.2</v>
      </c>
      <c r="AL28" s="73">
        <f t="shared" si="64"/>
        <v>10.666666666666666</v>
      </c>
      <c r="AM28" s="92">
        <f t="shared" si="65"/>
        <v>6.918918918918919</v>
      </c>
      <c r="AN28" s="73">
        <f t="shared" si="68"/>
        <v>1</v>
      </c>
      <c r="AO28" s="73">
        <v>2</v>
      </c>
      <c r="AP28" s="73">
        <v>1</v>
      </c>
      <c r="AQ28" s="73">
        <v>1</v>
      </c>
      <c r="AR28" s="87">
        <v>5</v>
      </c>
      <c r="AS28" s="87">
        <v>5</v>
      </c>
      <c r="AT28" s="73">
        <v>1</v>
      </c>
      <c r="AU28" s="73">
        <v>1</v>
      </c>
      <c r="AV28" s="73">
        <v>2.8</v>
      </c>
      <c r="AW28" s="73">
        <f t="shared" si="8"/>
        <v>12.8</v>
      </c>
      <c r="AX28" s="73">
        <f t="shared" si="9"/>
        <v>8.533333333333335</v>
      </c>
      <c r="AY28" s="73">
        <f t="shared" si="69"/>
        <v>10.240000000000002</v>
      </c>
      <c r="AZ28" s="73">
        <f t="shared" si="11"/>
        <v>9.09158878504673</v>
      </c>
      <c r="BA28" s="73"/>
      <c r="BB28" s="73">
        <v>0.02</v>
      </c>
      <c r="BC28" s="73">
        <f t="shared" si="60"/>
        <v>8.909757009345794</v>
      </c>
      <c r="BD28" s="73">
        <v>4.840412061378459</v>
      </c>
      <c r="BE28" s="87">
        <v>5.680910008889502</v>
      </c>
      <c r="BF28" s="73"/>
      <c r="BG28" s="73"/>
      <c r="BH28" s="92">
        <v>511</v>
      </c>
      <c r="BI28" s="92">
        <f t="shared" si="12"/>
        <v>2.1333333333333333</v>
      </c>
      <c r="BJ28" s="87">
        <f t="shared" si="13"/>
        <v>1.6</v>
      </c>
      <c r="BK28" s="87">
        <f t="shared" si="14"/>
        <v>6.918918918918919</v>
      </c>
      <c r="BL28" s="87">
        <v>8</v>
      </c>
      <c r="BM28" s="87">
        <v>6</v>
      </c>
      <c r="BN28" s="87">
        <v>1</v>
      </c>
      <c r="BO28" s="93">
        <f t="shared" si="15"/>
        <v>2.6162493612672457</v>
      </c>
      <c r="BP28" s="73">
        <f t="shared" si="66"/>
        <v>573.4862565006297</v>
      </c>
      <c r="BQ28" s="73"/>
      <c r="BR28" s="92">
        <v>111</v>
      </c>
      <c r="BS28" s="92">
        <f t="shared" si="17"/>
        <v>2</v>
      </c>
      <c r="BT28" s="87">
        <f t="shared" si="18"/>
        <v>1.6</v>
      </c>
      <c r="BU28" s="92">
        <f t="shared" si="19"/>
        <v>6.918918918918919</v>
      </c>
      <c r="BV28" s="87">
        <v>8</v>
      </c>
      <c r="BW28" s="87">
        <v>6</v>
      </c>
      <c r="BX28" s="87">
        <v>1</v>
      </c>
      <c r="BY28" s="93">
        <f t="shared" si="20"/>
        <v>2.5333993072736267</v>
      </c>
      <c r="BZ28" s="92">
        <f t="shared" si="21"/>
        <v>735.8784517891763</v>
      </c>
      <c r="CA28" s="73"/>
      <c r="CB28" s="92">
        <v>122</v>
      </c>
      <c r="CC28" s="92">
        <f t="shared" si="22"/>
        <v>5.333333333333333</v>
      </c>
      <c r="CD28" s="87">
        <f t="shared" si="23"/>
        <v>0.7111111111111111</v>
      </c>
      <c r="CE28" s="92">
        <f t="shared" si="24"/>
        <v>6.918918918918919</v>
      </c>
      <c r="CF28" s="87">
        <v>8</v>
      </c>
      <c r="CG28" s="87">
        <v>6</v>
      </c>
      <c r="CH28" s="87">
        <v>1</v>
      </c>
      <c r="CI28" s="93">
        <f t="shared" si="25"/>
        <v>1.9837272375048431</v>
      </c>
      <c r="CJ28" s="92">
        <f t="shared" si="26"/>
        <v>586.1650407986014</v>
      </c>
      <c r="CK28" s="73"/>
      <c r="CL28" s="92">
        <v>388</v>
      </c>
      <c r="CM28" s="92">
        <f t="shared" si="27"/>
        <v>4</v>
      </c>
      <c r="CN28" s="92">
        <f t="shared" si="28"/>
        <v>0.8</v>
      </c>
      <c r="CO28" s="92">
        <f t="shared" si="29"/>
        <v>6.918918918918919</v>
      </c>
      <c r="CP28" s="92">
        <v>8</v>
      </c>
      <c r="CQ28" s="92">
        <v>6</v>
      </c>
      <c r="CR28" s="92">
        <v>1</v>
      </c>
      <c r="CS28" s="92">
        <f t="shared" si="30"/>
        <v>2.073714054272985</v>
      </c>
      <c r="CT28" s="92">
        <f t="shared" si="31"/>
        <v>551.7400138085442</v>
      </c>
      <c r="CU28" s="73"/>
      <c r="CV28" s="92">
        <v>384</v>
      </c>
      <c r="CW28" s="92">
        <f t="shared" si="32"/>
        <v>4</v>
      </c>
      <c r="CX28" s="92">
        <f t="shared" si="33"/>
        <v>0.9846153846153847</v>
      </c>
      <c r="CY28" s="92">
        <f t="shared" si="34"/>
        <v>6.918918918918919</v>
      </c>
      <c r="CZ28" s="92">
        <v>8</v>
      </c>
      <c r="DA28" s="92">
        <v>6</v>
      </c>
      <c r="DB28" s="92">
        <v>1</v>
      </c>
      <c r="DC28" s="92">
        <f t="shared" si="35"/>
        <v>2.4276908487434805</v>
      </c>
      <c r="DD28" s="92">
        <f t="shared" si="67"/>
        <v>581.7950541527605</v>
      </c>
      <c r="DE28" s="73"/>
      <c r="DF28" s="92">
        <v>234</v>
      </c>
      <c r="DG28" s="92">
        <f t="shared" si="37"/>
        <v>4.571428571428571</v>
      </c>
      <c r="DH28" s="92">
        <f t="shared" si="38"/>
        <v>1.0666666666666667</v>
      </c>
      <c r="DI28" s="92">
        <f t="shared" si="39"/>
        <v>6.918918918918919</v>
      </c>
      <c r="DJ28" s="92">
        <v>8</v>
      </c>
      <c r="DK28" s="92">
        <v>6</v>
      </c>
      <c r="DL28" s="92">
        <v>1</v>
      </c>
      <c r="DM28" s="92">
        <f t="shared" si="40"/>
        <v>2.6597402597402597</v>
      </c>
      <c r="DN28" s="92">
        <f t="shared" si="41"/>
        <v>633.3454598776019</v>
      </c>
      <c r="DO28" s="73"/>
      <c r="DP28" s="92">
        <v>477</v>
      </c>
      <c r="DQ28" s="92">
        <f t="shared" si="42"/>
        <v>5.333333333333333</v>
      </c>
      <c r="DR28" s="92">
        <f t="shared" si="43"/>
        <v>1.0666666666666667</v>
      </c>
      <c r="DS28" s="92">
        <f t="shared" si="44"/>
        <v>6.918918918918919</v>
      </c>
      <c r="DT28" s="92">
        <v>8</v>
      </c>
      <c r="DU28" s="92">
        <v>6</v>
      </c>
      <c r="DV28" s="92">
        <v>1</v>
      </c>
      <c r="DW28" s="92">
        <f t="shared" si="45"/>
        <v>2.751209027404621</v>
      </c>
      <c r="DX28" s="92">
        <f t="shared" si="46"/>
        <v>666.3927824318216</v>
      </c>
      <c r="DY28" s="73"/>
      <c r="DZ28" s="92">
        <v>9999</v>
      </c>
      <c r="EA28" s="73">
        <f t="shared" si="47"/>
        <v>5.333333333333333</v>
      </c>
      <c r="EB28" s="73">
        <f t="shared" si="48"/>
        <v>1.0666666666666667</v>
      </c>
      <c r="EC28" s="73">
        <f t="shared" si="49"/>
        <v>6.918918918918919</v>
      </c>
      <c r="ED28" s="92">
        <v>8</v>
      </c>
      <c r="EE28" s="92">
        <v>6</v>
      </c>
      <c r="EF28" s="92">
        <v>1</v>
      </c>
      <c r="EG28" s="92">
        <f t="shared" si="50"/>
        <v>2.751209027404621</v>
      </c>
      <c r="EH28" s="92">
        <f t="shared" si="51"/>
        <v>666.3927824318216</v>
      </c>
      <c r="EI28" s="73"/>
      <c r="EJ28" s="92">
        <v>548</v>
      </c>
      <c r="EK28" s="92">
        <f t="shared" si="52"/>
        <v>8</v>
      </c>
      <c r="EL28" s="92">
        <f t="shared" si="53"/>
        <v>1.1636363636363636</v>
      </c>
      <c r="EM28" s="92">
        <f t="shared" si="54"/>
        <v>6.918918918918919</v>
      </c>
      <c r="EN28" s="92">
        <v>8</v>
      </c>
      <c r="EO28" s="92">
        <v>6</v>
      </c>
      <c r="EP28" s="92">
        <v>1</v>
      </c>
      <c r="EQ28" s="92">
        <f t="shared" si="55"/>
        <v>3.1742095474271546</v>
      </c>
      <c r="ER28" s="92">
        <f t="shared" si="56"/>
        <v>761.1924114129798</v>
      </c>
      <c r="ES28" s="73"/>
      <c r="ET28" s="73">
        <v>50</v>
      </c>
      <c r="EU28" s="73">
        <v>0</v>
      </c>
      <c r="EV28" s="73">
        <v>0</v>
      </c>
      <c r="EW28" s="73">
        <v>0</v>
      </c>
      <c r="EX28" s="73">
        <v>50</v>
      </c>
      <c r="EY28" s="73">
        <v>0</v>
      </c>
      <c r="EZ28" s="73">
        <v>0</v>
      </c>
      <c r="FA28" s="73">
        <v>0</v>
      </c>
      <c r="FB28" s="73">
        <v>0</v>
      </c>
      <c r="FC28" s="92">
        <f t="shared" si="57"/>
        <v>576.505674862051</v>
      </c>
    </row>
    <row r="29" spans="1:159" s="17" customFormat="1" ht="17.25">
      <c r="A29" s="71">
        <v>25</v>
      </c>
      <c r="B29" s="72" t="s">
        <v>550</v>
      </c>
      <c r="C29" s="75">
        <v>1</v>
      </c>
      <c r="D29" s="72">
        <v>2</v>
      </c>
      <c r="E29" s="75">
        <v>700</v>
      </c>
      <c r="F29" s="75">
        <v>1800</v>
      </c>
      <c r="G29" s="72">
        <f t="shared" si="0"/>
        <v>700</v>
      </c>
      <c r="H29" s="72">
        <v>16</v>
      </c>
      <c r="I29" s="72">
        <v>4</v>
      </c>
      <c r="J29" s="72">
        <v>4</v>
      </c>
      <c r="K29" s="72">
        <v>4</v>
      </c>
      <c r="L29" s="72" t="s">
        <v>25</v>
      </c>
      <c r="M29" s="72">
        <v>40</v>
      </c>
      <c r="N29" s="72" t="s">
        <v>25</v>
      </c>
      <c r="O29" s="72" t="s">
        <v>21</v>
      </c>
      <c r="P29" s="77">
        <f t="shared" si="58"/>
        <v>27.086388766401587</v>
      </c>
      <c r="Q29" s="78">
        <f t="shared" si="1"/>
        <v>327.4380159158044</v>
      </c>
      <c r="R29" s="78"/>
      <c r="S29" s="79">
        <v>512</v>
      </c>
      <c r="T29" s="126" t="s">
        <v>26</v>
      </c>
      <c r="U29" s="126" t="s">
        <v>26</v>
      </c>
      <c r="V29" s="72" t="s">
        <v>441</v>
      </c>
      <c r="W29" s="72" t="s">
        <v>27</v>
      </c>
      <c r="X29" s="72" t="s">
        <v>28</v>
      </c>
      <c r="Y29" s="72" t="s">
        <v>28</v>
      </c>
      <c r="Z29" s="81" t="s">
        <v>560</v>
      </c>
      <c r="AA29" s="81" t="s">
        <v>560</v>
      </c>
      <c r="AB29" s="106" t="s">
        <v>451</v>
      </c>
      <c r="AC29" s="82">
        <v>3</v>
      </c>
      <c r="AD29" s="83" t="s">
        <v>47</v>
      </c>
      <c r="AE29" s="84">
        <v>205</v>
      </c>
      <c r="AF29" s="85">
        <v>55</v>
      </c>
      <c r="AG29" s="72"/>
      <c r="AH29" s="87"/>
      <c r="AI29" s="87">
        <f t="shared" si="61"/>
        <v>5.6</v>
      </c>
      <c r="AJ29" s="87">
        <f t="shared" si="62"/>
        <v>5.6</v>
      </c>
      <c r="AK29" s="87">
        <f t="shared" si="63"/>
        <v>2.8</v>
      </c>
      <c r="AL29" s="87">
        <f t="shared" si="64"/>
        <v>4.666666666666667</v>
      </c>
      <c r="AM29" s="73">
        <f>H29*F29/10000+2.56</f>
        <v>5.4399999999999995</v>
      </c>
      <c r="AN29" s="73">
        <f t="shared" si="68"/>
        <v>1</v>
      </c>
      <c r="AO29" s="87">
        <v>2</v>
      </c>
      <c r="AP29" s="87">
        <v>1</v>
      </c>
      <c r="AQ29" s="87">
        <v>1</v>
      </c>
      <c r="AR29" s="87">
        <v>5</v>
      </c>
      <c r="AS29" s="87">
        <v>5</v>
      </c>
      <c r="AT29" s="87">
        <v>1</v>
      </c>
      <c r="AU29" s="87">
        <v>1</v>
      </c>
      <c r="AV29" s="87">
        <v>2.8</v>
      </c>
      <c r="AW29" s="87">
        <f t="shared" si="8"/>
        <v>5.6</v>
      </c>
      <c r="AX29" s="87">
        <f t="shared" si="9"/>
        <v>4.799999999999999</v>
      </c>
      <c r="AY29" s="87">
        <f t="shared" si="69"/>
        <v>4.688372093023256</v>
      </c>
      <c r="AZ29" s="87">
        <f t="shared" si="11"/>
        <v>4.865271966527197</v>
      </c>
      <c r="BA29" s="87"/>
      <c r="BB29" s="73">
        <v>0.02</v>
      </c>
      <c r="BC29" s="73">
        <f t="shared" si="60"/>
        <v>4.767966527196653</v>
      </c>
      <c r="BD29" s="73">
        <v>4.840412061378459</v>
      </c>
      <c r="BE29" s="87">
        <v>5.680910008889502</v>
      </c>
      <c r="BF29" s="73"/>
      <c r="BG29" s="73"/>
      <c r="BH29" s="73">
        <v>511</v>
      </c>
      <c r="BI29" s="73">
        <f t="shared" si="12"/>
        <v>1.8666666666666667</v>
      </c>
      <c r="BJ29" s="87">
        <f t="shared" si="13"/>
        <v>0.7</v>
      </c>
      <c r="BK29" s="87">
        <f t="shared" si="14"/>
        <v>5.4399999999999995</v>
      </c>
      <c r="BL29" s="87">
        <v>8</v>
      </c>
      <c r="BM29" s="87">
        <v>6</v>
      </c>
      <c r="BN29" s="87">
        <v>1</v>
      </c>
      <c r="BO29" s="87">
        <f t="shared" si="15"/>
        <v>1.5336286749899315</v>
      </c>
      <c r="BP29" s="73">
        <f t="shared" si="66"/>
        <v>345.2725443584266</v>
      </c>
      <c r="BQ29" s="73"/>
      <c r="BR29" s="73">
        <v>111</v>
      </c>
      <c r="BS29" s="73">
        <f t="shared" si="17"/>
        <v>1.75</v>
      </c>
      <c r="BT29" s="87">
        <f t="shared" si="18"/>
        <v>0.7</v>
      </c>
      <c r="BU29" s="73">
        <f t="shared" si="19"/>
        <v>5.4399999999999995</v>
      </c>
      <c r="BV29" s="87">
        <v>8</v>
      </c>
      <c r="BW29" s="87">
        <v>6</v>
      </c>
      <c r="BX29" s="87">
        <v>1</v>
      </c>
      <c r="BY29" s="87">
        <f t="shared" si="20"/>
        <v>1.5007487979821865</v>
      </c>
      <c r="BZ29" s="73">
        <f t="shared" si="21"/>
        <v>452.19747993519707</v>
      </c>
      <c r="CA29" s="73"/>
      <c r="CB29" s="73">
        <v>122</v>
      </c>
      <c r="CC29" s="73">
        <f t="shared" si="22"/>
        <v>4.666666666666667</v>
      </c>
      <c r="CD29" s="87">
        <f t="shared" si="23"/>
        <v>0.3111111111111111</v>
      </c>
      <c r="CE29" s="87">
        <f>BJ29</f>
        <v>0.7</v>
      </c>
      <c r="CF29" s="87">
        <v>8</v>
      </c>
      <c r="CG29" s="87">
        <v>6</v>
      </c>
      <c r="CH29" s="87">
        <v>1</v>
      </c>
      <c r="CI29" s="87">
        <f t="shared" si="25"/>
        <v>0.89171974522293</v>
      </c>
      <c r="CJ29" s="73">
        <f t="shared" si="26"/>
        <v>278.6596519110955</v>
      </c>
      <c r="CK29" s="73"/>
      <c r="CL29" s="73">
        <v>388</v>
      </c>
      <c r="CM29" s="73">
        <f t="shared" si="27"/>
        <v>3.5</v>
      </c>
      <c r="CN29" s="73">
        <f t="shared" si="28"/>
        <v>0.35</v>
      </c>
      <c r="CO29" s="73">
        <f t="shared" si="29"/>
        <v>5.4399999999999995</v>
      </c>
      <c r="CP29" s="73">
        <v>8</v>
      </c>
      <c r="CQ29" s="73">
        <v>6</v>
      </c>
      <c r="CR29" s="73">
        <v>1</v>
      </c>
      <c r="CS29" s="73">
        <f t="shared" si="30"/>
        <v>1.0197632692410692</v>
      </c>
      <c r="CT29" s="73">
        <f t="shared" si="31"/>
        <v>285.1428203413452</v>
      </c>
      <c r="CU29" s="73"/>
      <c r="CV29" s="73">
        <v>384</v>
      </c>
      <c r="CW29" s="73">
        <f t="shared" si="32"/>
        <v>3.5</v>
      </c>
      <c r="CX29" s="73">
        <f t="shared" si="33"/>
        <v>0.4307692307692308</v>
      </c>
      <c r="CY29" s="73">
        <f t="shared" si="34"/>
        <v>5.4399999999999995</v>
      </c>
      <c r="CZ29" s="73">
        <v>8</v>
      </c>
      <c r="DA29" s="73">
        <v>6</v>
      </c>
      <c r="DB29" s="73">
        <v>1</v>
      </c>
      <c r="DC29" s="73">
        <f t="shared" si="35"/>
        <v>1.2196528089167897</v>
      </c>
      <c r="DD29" s="73">
        <f t="shared" si="67"/>
        <v>306.7184249270879</v>
      </c>
      <c r="DE29" s="73"/>
      <c r="DF29" s="73">
        <v>234</v>
      </c>
      <c r="DG29" s="73">
        <f t="shared" si="37"/>
        <v>4</v>
      </c>
      <c r="DH29" s="73">
        <f t="shared" si="38"/>
        <v>0.4666666666666667</v>
      </c>
      <c r="DI29" s="73">
        <f t="shared" si="39"/>
        <v>5.4399999999999995</v>
      </c>
      <c r="DJ29" s="73">
        <v>8</v>
      </c>
      <c r="DK29" s="73">
        <v>6</v>
      </c>
      <c r="DL29" s="73">
        <v>1</v>
      </c>
      <c r="DM29" s="73">
        <f t="shared" si="40"/>
        <v>1.3297017948180738</v>
      </c>
      <c r="DN29" s="73">
        <f t="shared" si="41"/>
        <v>332.3775157823524</v>
      </c>
      <c r="DO29" s="73"/>
      <c r="DP29" s="73">
        <v>477</v>
      </c>
      <c r="DQ29" s="73">
        <f t="shared" si="42"/>
        <v>4.666666666666667</v>
      </c>
      <c r="DR29" s="73">
        <f t="shared" si="43"/>
        <v>0.4666666666666667</v>
      </c>
      <c r="DS29" s="73">
        <f t="shared" si="44"/>
        <v>5.4399999999999995</v>
      </c>
      <c r="DT29" s="73">
        <v>8</v>
      </c>
      <c r="DU29" s="73">
        <v>6</v>
      </c>
      <c r="DV29" s="73">
        <v>1</v>
      </c>
      <c r="DW29" s="73">
        <f t="shared" si="45"/>
        <v>1.3554495621840963</v>
      </c>
      <c r="DX29" s="73">
        <f t="shared" si="46"/>
        <v>344.9934695335561</v>
      </c>
      <c r="DY29" s="73"/>
      <c r="DZ29" s="73">
        <v>9999</v>
      </c>
      <c r="EA29" s="73">
        <f t="shared" si="47"/>
        <v>4.666666666666667</v>
      </c>
      <c r="EB29" s="73">
        <f t="shared" si="48"/>
        <v>0.4666666666666667</v>
      </c>
      <c r="EC29" s="73">
        <f t="shared" si="49"/>
        <v>5.4399999999999995</v>
      </c>
      <c r="ED29" s="73">
        <v>8</v>
      </c>
      <c r="EE29" s="73">
        <v>6</v>
      </c>
      <c r="EF29" s="73">
        <v>1</v>
      </c>
      <c r="EG29" s="73">
        <f t="shared" si="50"/>
        <v>1.3554495621840963</v>
      </c>
      <c r="EH29" s="73">
        <f t="shared" si="51"/>
        <v>344.9934695335561</v>
      </c>
      <c r="EI29" s="73"/>
      <c r="EJ29" s="73">
        <v>548</v>
      </c>
      <c r="EK29" s="73">
        <f t="shared" si="52"/>
        <v>7</v>
      </c>
      <c r="EL29" s="73">
        <f t="shared" si="53"/>
        <v>0.509090909090909</v>
      </c>
      <c r="EM29" s="73">
        <f t="shared" si="54"/>
        <v>5.4399999999999995</v>
      </c>
      <c r="EN29" s="73">
        <v>8</v>
      </c>
      <c r="EO29" s="73">
        <v>6</v>
      </c>
      <c r="EP29" s="73">
        <v>1</v>
      </c>
      <c r="EQ29" s="73">
        <f t="shared" si="55"/>
        <v>1.5252743731474805</v>
      </c>
      <c r="ER29" s="73">
        <f t="shared" si="56"/>
        <v>385.0232568866941</v>
      </c>
      <c r="ES29" s="73"/>
      <c r="ET29" s="73">
        <v>50</v>
      </c>
      <c r="EU29" s="73">
        <v>0</v>
      </c>
      <c r="EV29" s="73">
        <v>0</v>
      </c>
      <c r="EW29" s="73">
        <v>0</v>
      </c>
      <c r="EX29" s="73">
        <v>50</v>
      </c>
      <c r="EY29" s="73">
        <v>0</v>
      </c>
      <c r="EZ29" s="73">
        <v>0</v>
      </c>
      <c r="FA29" s="73">
        <v>0</v>
      </c>
      <c r="FB29" s="73">
        <v>0</v>
      </c>
      <c r="FC29" s="73">
        <f t="shared" si="57"/>
        <v>327.4380159158044</v>
      </c>
    </row>
    <row r="30" spans="1:159" s="17" customFormat="1" ht="17.25">
      <c r="A30" s="71">
        <v>26</v>
      </c>
      <c r="B30" s="72" t="s">
        <v>592</v>
      </c>
      <c r="C30" s="75">
        <v>1</v>
      </c>
      <c r="D30" s="72">
        <v>2</v>
      </c>
      <c r="E30" s="75">
        <v>560</v>
      </c>
      <c r="F30" s="75">
        <v>1800</v>
      </c>
      <c r="G30" s="72">
        <f t="shared" si="0"/>
        <v>560</v>
      </c>
      <c r="H30" s="72">
        <v>16</v>
      </c>
      <c r="I30" s="72">
        <v>4</v>
      </c>
      <c r="J30" s="72">
        <v>4</v>
      </c>
      <c r="K30" s="72">
        <v>4</v>
      </c>
      <c r="L30" s="72" t="s">
        <v>25</v>
      </c>
      <c r="M30" s="72">
        <v>40</v>
      </c>
      <c r="N30" s="72" t="s">
        <v>25</v>
      </c>
      <c r="O30" s="72" t="s">
        <v>21</v>
      </c>
      <c r="P30" s="77">
        <f t="shared" si="58"/>
        <v>22.73948422452682</v>
      </c>
      <c r="Q30" s="78">
        <f t="shared" si="1"/>
        <v>266.09688637089056</v>
      </c>
      <c r="R30" s="78"/>
      <c r="S30" s="79">
        <v>512</v>
      </c>
      <c r="T30" s="126" t="s">
        <v>26</v>
      </c>
      <c r="U30" s="126" t="s">
        <v>26</v>
      </c>
      <c r="V30" s="72" t="s">
        <v>441</v>
      </c>
      <c r="W30" s="72" t="s">
        <v>27</v>
      </c>
      <c r="X30" s="72" t="s">
        <v>28</v>
      </c>
      <c r="Y30" s="72" t="s">
        <v>28</v>
      </c>
      <c r="Z30" s="81" t="s">
        <v>560</v>
      </c>
      <c r="AA30" s="81" t="s">
        <v>560</v>
      </c>
      <c r="AB30" s="106" t="s">
        <v>451</v>
      </c>
      <c r="AC30" s="82">
        <v>3</v>
      </c>
      <c r="AD30" s="83" t="s">
        <v>47</v>
      </c>
      <c r="AE30" s="84">
        <v>205</v>
      </c>
      <c r="AF30" s="85">
        <v>55</v>
      </c>
      <c r="AG30" s="72"/>
      <c r="AH30" s="87"/>
      <c r="AI30" s="87">
        <f t="shared" si="61"/>
        <v>4.48</v>
      </c>
      <c r="AJ30" s="87">
        <f t="shared" si="62"/>
        <v>4.48</v>
      </c>
      <c r="AK30" s="87">
        <f t="shared" si="63"/>
        <v>2.24</v>
      </c>
      <c r="AL30" s="87">
        <f t="shared" si="64"/>
        <v>3.7333333333333334</v>
      </c>
      <c r="AM30" s="73">
        <f>H30*F30/10000+2.56</f>
        <v>5.4399999999999995</v>
      </c>
      <c r="AN30" s="73">
        <f t="shared" si="68"/>
        <v>1</v>
      </c>
      <c r="AO30" s="87">
        <v>2</v>
      </c>
      <c r="AP30" s="87">
        <v>1</v>
      </c>
      <c r="AQ30" s="87">
        <v>1</v>
      </c>
      <c r="AR30" s="87">
        <v>5</v>
      </c>
      <c r="AS30" s="87">
        <v>5</v>
      </c>
      <c r="AT30" s="87">
        <v>1</v>
      </c>
      <c r="AU30" s="87">
        <v>1</v>
      </c>
      <c r="AV30" s="87">
        <v>2.8</v>
      </c>
      <c r="AW30" s="87">
        <f t="shared" si="8"/>
        <v>4.4799999999999995</v>
      </c>
      <c r="AX30" s="87">
        <f t="shared" si="9"/>
        <v>3.84</v>
      </c>
      <c r="AY30" s="87">
        <f t="shared" si="69"/>
        <v>3.7506976744186047</v>
      </c>
      <c r="AZ30" s="87">
        <f t="shared" si="11"/>
        <v>4.084478594950604</v>
      </c>
      <c r="BA30" s="87"/>
      <c r="BB30" s="73">
        <v>0.02</v>
      </c>
      <c r="BC30" s="73">
        <f t="shared" si="60"/>
        <v>4.002789023051592</v>
      </c>
      <c r="BD30" s="73">
        <v>4.840412061378459</v>
      </c>
      <c r="BE30" s="87">
        <v>5.680910008889502</v>
      </c>
      <c r="BF30" s="73"/>
      <c r="BG30" s="73"/>
      <c r="BH30" s="73">
        <v>511</v>
      </c>
      <c r="BI30" s="73">
        <f t="shared" si="12"/>
        <v>1.4933333333333334</v>
      </c>
      <c r="BJ30" s="87">
        <f t="shared" si="13"/>
        <v>0.56</v>
      </c>
      <c r="BK30" s="87">
        <f t="shared" si="14"/>
        <v>5.4399999999999995</v>
      </c>
      <c r="BL30" s="87">
        <v>8</v>
      </c>
      <c r="BM30" s="87">
        <v>6</v>
      </c>
      <c r="BN30" s="87">
        <v>1</v>
      </c>
      <c r="BO30" s="87">
        <f t="shared" si="15"/>
        <v>1.2303715670436188</v>
      </c>
      <c r="BP30" s="73">
        <f t="shared" si="66"/>
        <v>280.0672377536969</v>
      </c>
      <c r="BQ30" s="73"/>
      <c r="BR30" s="73">
        <v>111</v>
      </c>
      <c r="BS30" s="73">
        <f t="shared" si="17"/>
        <v>1.4</v>
      </c>
      <c r="BT30" s="87">
        <f t="shared" si="18"/>
        <v>0.56</v>
      </c>
      <c r="BU30" s="73">
        <f t="shared" si="19"/>
        <v>5.4399999999999995</v>
      </c>
      <c r="BV30" s="87">
        <v>8</v>
      </c>
      <c r="BW30" s="87">
        <v>6</v>
      </c>
      <c r="BX30" s="87">
        <v>1</v>
      </c>
      <c r="BY30" s="87">
        <f t="shared" si="20"/>
        <v>1.2039203288017706</v>
      </c>
      <c r="BZ30" s="73">
        <f t="shared" si="21"/>
        <v>368.3982845940641</v>
      </c>
      <c r="CA30" s="73"/>
      <c r="CB30" s="73">
        <v>122</v>
      </c>
      <c r="CC30" s="73">
        <f t="shared" si="22"/>
        <v>3.7333333333333334</v>
      </c>
      <c r="CD30" s="87">
        <f t="shared" si="23"/>
        <v>0.24888888888888888</v>
      </c>
      <c r="CE30" s="87">
        <f>BJ30</f>
        <v>0.56</v>
      </c>
      <c r="CF30" s="87">
        <v>8</v>
      </c>
      <c r="CG30" s="87">
        <v>6</v>
      </c>
      <c r="CH30" s="87">
        <v>1</v>
      </c>
      <c r="CI30" s="87">
        <f t="shared" si="25"/>
        <v>0.713375796178344</v>
      </c>
      <c r="CJ30" s="73">
        <f t="shared" si="26"/>
        <v>226.43720113766088</v>
      </c>
      <c r="CK30" s="73"/>
      <c r="CL30" s="73">
        <v>388</v>
      </c>
      <c r="CM30" s="73">
        <f t="shared" si="27"/>
        <v>2.8</v>
      </c>
      <c r="CN30" s="73">
        <f t="shared" si="28"/>
        <v>0.28</v>
      </c>
      <c r="CO30" s="73">
        <f t="shared" si="29"/>
        <v>5.4399999999999995</v>
      </c>
      <c r="CP30" s="73">
        <v>8</v>
      </c>
      <c r="CQ30" s="73">
        <v>6</v>
      </c>
      <c r="CR30" s="73">
        <v>1</v>
      </c>
      <c r="CS30" s="73">
        <f t="shared" si="30"/>
        <v>0.8173427774200472</v>
      </c>
      <c r="CT30" s="73">
        <f t="shared" si="31"/>
        <v>232.11006038287283</v>
      </c>
      <c r="CU30" s="73"/>
      <c r="CV30" s="73">
        <v>384</v>
      </c>
      <c r="CW30" s="73">
        <f t="shared" si="32"/>
        <v>2.8</v>
      </c>
      <c r="CX30" s="73">
        <f t="shared" si="33"/>
        <v>0.3446153846153846</v>
      </c>
      <c r="CY30" s="73">
        <f t="shared" si="34"/>
        <v>5.4399999999999995</v>
      </c>
      <c r="CZ30" s="73">
        <v>8</v>
      </c>
      <c r="DA30" s="73">
        <v>6</v>
      </c>
      <c r="DB30" s="73">
        <v>1</v>
      </c>
      <c r="DC30" s="73">
        <f t="shared" si="35"/>
        <v>0.9779147406266051</v>
      </c>
      <c r="DD30" s="73">
        <f t="shared" si="67"/>
        <v>249.7583999606133</v>
      </c>
      <c r="DE30" s="73"/>
      <c r="DF30" s="73">
        <v>234</v>
      </c>
      <c r="DG30" s="73">
        <f t="shared" si="37"/>
        <v>3.2</v>
      </c>
      <c r="DH30" s="73">
        <f t="shared" si="38"/>
        <v>0.37333333333333335</v>
      </c>
      <c r="DI30" s="73">
        <f t="shared" si="39"/>
        <v>5.4399999999999995</v>
      </c>
      <c r="DJ30" s="73">
        <v>8</v>
      </c>
      <c r="DK30" s="73">
        <v>6</v>
      </c>
      <c r="DL30" s="73">
        <v>1</v>
      </c>
      <c r="DM30" s="73">
        <f t="shared" si="40"/>
        <v>1.066367964155699</v>
      </c>
      <c r="DN30" s="73">
        <f t="shared" si="41"/>
        <v>270.70343939333696</v>
      </c>
      <c r="DO30" s="73"/>
      <c r="DP30" s="73">
        <v>477</v>
      </c>
      <c r="DQ30" s="73">
        <f t="shared" si="42"/>
        <v>3.7333333333333334</v>
      </c>
      <c r="DR30" s="73">
        <f t="shared" si="43"/>
        <v>0.37333333333333335</v>
      </c>
      <c r="DS30" s="73">
        <f t="shared" si="44"/>
        <v>5.4399999999999995</v>
      </c>
      <c r="DT30" s="73">
        <v>8</v>
      </c>
      <c r="DU30" s="73">
        <v>6</v>
      </c>
      <c r="DV30" s="73">
        <v>1</v>
      </c>
      <c r="DW30" s="73">
        <f t="shared" si="45"/>
        <v>1.0870682272337997</v>
      </c>
      <c r="DX30" s="73">
        <f t="shared" si="46"/>
        <v>280.990847502927</v>
      </c>
      <c r="DY30" s="73"/>
      <c r="DZ30" s="73">
        <v>9999</v>
      </c>
      <c r="EA30" s="73">
        <f t="shared" si="47"/>
        <v>3.7333333333333334</v>
      </c>
      <c r="EB30" s="73">
        <f t="shared" si="48"/>
        <v>0.37333333333333335</v>
      </c>
      <c r="EC30" s="73">
        <f t="shared" si="49"/>
        <v>5.4399999999999995</v>
      </c>
      <c r="ED30" s="73">
        <v>8</v>
      </c>
      <c r="EE30" s="73">
        <v>6</v>
      </c>
      <c r="EF30" s="73">
        <v>1</v>
      </c>
      <c r="EG30" s="73">
        <f t="shared" si="50"/>
        <v>1.0870682272337997</v>
      </c>
      <c r="EH30" s="73">
        <f t="shared" si="51"/>
        <v>280.990847502927</v>
      </c>
      <c r="EI30" s="73"/>
      <c r="EJ30" s="73">
        <v>548</v>
      </c>
      <c r="EK30" s="73">
        <f t="shared" si="52"/>
        <v>5.6</v>
      </c>
      <c r="EL30" s="73">
        <f t="shared" si="53"/>
        <v>0.4072727272727273</v>
      </c>
      <c r="EM30" s="73">
        <f t="shared" si="54"/>
        <v>5.4399999999999995</v>
      </c>
      <c r="EN30" s="73">
        <v>8</v>
      </c>
      <c r="EO30" s="73">
        <v>6</v>
      </c>
      <c r="EP30" s="73">
        <v>1</v>
      </c>
      <c r="EQ30" s="73">
        <f t="shared" si="55"/>
        <v>1.2236503856041132</v>
      </c>
      <c r="ER30" s="73">
        <f t="shared" si="56"/>
        <v>313.6856738642619</v>
      </c>
      <c r="ES30" s="73"/>
      <c r="ET30" s="73">
        <v>50</v>
      </c>
      <c r="EU30" s="73">
        <v>0</v>
      </c>
      <c r="EV30" s="73">
        <v>0</v>
      </c>
      <c r="EW30" s="73">
        <v>0</v>
      </c>
      <c r="EX30" s="73">
        <v>50</v>
      </c>
      <c r="EY30" s="73">
        <v>0</v>
      </c>
      <c r="EZ30" s="73">
        <v>0</v>
      </c>
      <c r="FA30" s="73">
        <v>0</v>
      </c>
      <c r="FB30" s="73">
        <v>0</v>
      </c>
      <c r="FC30" s="73">
        <f t="shared" si="57"/>
        <v>266.09688637089056</v>
      </c>
    </row>
    <row r="31" spans="1:159" s="4" customFormat="1" ht="17.25">
      <c r="A31" s="71">
        <v>27</v>
      </c>
      <c r="B31" s="94" t="s">
        <v>432</v>
      </c>
      <c r="C31" s="75">
        <v>2</v>
      </c>
      <c r="D31" s="94">
        <v>4</v>
      </c>
      <c r="E31" s="75">
        <v>850</v>
      </c>
      <c r="F31" s="75">
        <v>1800</v>
      </c>
      <c r="G31" s="94">
        <f t="shared" si="0"/>
        <v>850</v>
      </c>
      <c r="H31" s="94">
        <v>256</v>
      </c>
      <c r="I31" s="72">
        <f aca="true" t="shared" si="70" ref="I31:I38">J31</f>
        <v>16</v>
      </c>
      <c r="J31" s="94">
        <v>16</v>
      </c>
      <c r="K31" s="94">
        <v>16</v>
      </c>
      <c r="L31" s="94" t="s">
        <v>25</v>
      </c>
      <c r="M31" s="94">
        <v>320</v>
      </c>
      <c r="N31" s="94" t="s">
        <v>25</v>
      </c>
      <c r="O31" s="94" t="s">
        <v>21</v>
      </c>
      <c r="P31" s="77">
        <f t="shared" si="58"/>
        <v>360.17593977636324</v>
      </c>
      <c r="Q31" s="78">
        <f t="shared" si="1"/>
        <v>4520.991302258525</v>
      </c>
      <c r="R31" s="78"/>
      <c r="S31" s="89">
        <v>512</v>
      </c>
      <c r="T31" s="90">
        <v>60</v>
      </c>
      <c r="U31" s="90">
        <v>240</v>
      </c>
      <c r="V31" s="94" t="s">
        <v>55</v>
      </c>
      <c r="W31" s="94" t="s">
        <v>29</v>
      </c>
      <c r="X31" s="14" t="s">
        <v>428</v>
      </c>
      <c r="Y31" s="94" t="s">
        <v>40</v>
      </c>
      <c r="Z31" s="81">
        <v>10.5</v>
      </c>
      <c r="AA31" s="124" t="s">
        <v>559</v>
      </c>
      <c r="AB31" s="94">
        <v>10.1</v>
      </c>
      <c r="AC31" s="96">
        <v>3</v>
      </c>
      <c r="AD31" s="97">
        <v>210</v>
      </c>
      <c r="AE31" s="98">
        <f>666*C31</f>
        <v>1332</v>
      </c>
      <c r="AF31" s="99">
        <v>55</v>
      </c>
      <c r="AG31" s="94"/>
      <c r="AH31" s="91"/>
      <c r="AI31" s="87">
        <f t="shared" si="61"/>
        <v>27.2</v>
      </c>
      <c r="AJ31" s="91">
        <f t="shared" si="62"/>
        <v>27.2</v>
      </c>
      <c r="AK31" s="91">
        <f t="shared" si="63"/>
        <v>13.6</v>
      </c>
      <c r="AL31" s="87">
        <f t="shared" si="64"/>
        <v>45.333333333333336</v>
      </c>
      <c r="AM31" s="92">
        <f>H31*F31/(8750+250*AC31)</f>
        <v>48.50526315789474</v>
      </c>
      <c r="AN31" s="73">
        <f>POWER(INT(MIN(C31,D31)),0.55)+LN(INT(MIN(C31,D31)))*0.15</f>
        <v>1.5680577730296172</v>
      </c>
      <c r="AO31" s="87">
        <v>2</v>
      </c>
      <c r="AP31" s="87">
        <v>1</v>
      </c>
      <c r="AQ31" s="87">
        <v>1</v>
      </c>
      <c r="AR31" s="87">
        <v>5</v>
      </c>
      <c r="AS31" s="87">
        <v>5</v>
      </c>
      <c r="AT31" s="87">
        <v>1</v>
      </c>
      <c r="AU31" s="87">
        <v>1</v>
      </c>
      <c r="AV31" s="87">
        <v>2.8</v>
      </c>
      <c r="AW31" s="87">
        <f t="shared" si="8"/>
        <v>27.199999999999996</v>
      </c>
      <c r="AX31" s="87">
        <f t="shared" si="9"/>
        <v>23.314285714285717</v>
      </c>
      <c r="AY31" s="91">
        <f t="shared" si="69"/>
        <v>39.168</v>
      </c>
      <c r="AZ31" s="91">
        <f t="shared" si="11"/>
        <v>64.69499931955409</v>
      </c>
      <c r="BA31" s="91"/>
      <c r="BB31" s="73">
        <v>0.02</v>
      </c>
      <c r="BC31" s="73">
        <f t="shared" si="60"/>
        <v>63.401099333163</v>
      </c>
      <c r="BD31" s="73">
        <v>4.840412061378459</v>
      </c>
      <c r="BE31" s="87">
        <v>5.680910008889502</v>
      </c>
      <c r="BF31" s="42"/>
      <c r="BG31" s="42"/>
      <c r="BH31" s="92">
        <v>511</v>
      </c>
      <c r="BI31" s="92">
        <f t="shared" si="12"/>
        <v>9.066666666666666</v>
      </c>
      <c r="BJ31" s="87">
        <f t="shared" si="13"/>
        <v>6.8</v>
      </c>
      <c r="BK31" s="87">
        <f t="shared" si="14"/>
        <v>48.50526315789474</v>
      </c>
      <c r="BL31" s="87">
        <v>8</v>
      </c>
      <c r="BM31" s="87">
        <v>6</v>
      </c>
      <c r="BN31" s="87">
        <v>1</v>
      </c>
      <c r="BO31" s="93">
        <f t="shared" si="15"/>
        <v>11.202459690393622</v>
      </c>
      <c r="BP31" s="73">
        <f t="shared" si="66"/>
        <v>2283.3661388303917</v>
      </c>
      <c r="BQ31" s="42"/>
      <c r="BR31" s="92">
        <v>111</v>
      </c>
      <c r="BS31" s="92">
        <f t="shared" si="17"/>
        <v>8.5</v>
      </c>
      <c r="BT31" s="87">
        <f t="shared" si="18"/>
        <v>6.8</v>
      </c>
      <c r="BU31" s="92">
        <f t="shared" si="19"/>
        <v>48.50526315789474</v>
      </c>
      <c r="BV31" s="87">
        <v>8</v>
      </c>
      <c r="BW31" s="87">
        <v>6</v>
      </c>
      <c r="BX31" s="87">
        <v>1</v>
      </c>
      <c r="BY31" s="93">
        <f t="shared" si="20"/>
        <v>10.845129894851969</v>
      </c>
      <c r="BZ31" s="92">
        <f t="shared" si="21"/>
        <v>2845.3128079009566</v>
      </c>
      <c r="CA31" s="42"/>
      <c r="CB31" s="92">
        <v>122</v>
      </c>
      <c r="CC31" s="92">
        <f t="shared" si="22"/>
        <v>22.666666666666668</v>
      </c>
      <c r="CD31" s="87">
        <f t="shared" si="23"/>
        <v>3.022222222222222</v>
      </c>
      <c r="CE31" s="92">
        <f aca="true" t="shared" si="71" ref="CE31:CE49">AM31</f>
        <v>48.50526315789474</v>
      </c>
      <c r="CF31" s="87">
        <v>8</v>
      </c>
      <c r="CG31" s="87">
        <v>6</v>
      </c>
      <c r="CH31" s="87">
        <v>1</v>
      </c>
      <c r="CI31" s="93">
        <f t="shared" si="25"/>
        <v>8.478702045101551</v>
      </c>
      <c r="CJ31" s="92">
        <f t="shared" si="26"/>
        <v>2263.122234266223</v>
      </c>
      <c r="CK31" s="42"/>
      <c r="CL31" s="92">
        <v>388</v>
      </c>
      <c r="CM31" s="92">
        <f t="shared" si="27"/>
        <v>17</v>
      </c>
      <c r="CN31" s="92">
        <f t="shared" si="28"/>
        <v>3.4</v>
      </c>
      <c r="CO31" s="92">
        <f t="shared" si="29"/>
        <v>48.50526315789474</v>
      </c>
      <c r="CP31" s="92">
        <v>8</v>
      </c>
      <c r="CQ31" s="92">
        <v>6</v>
      </c>
      <c r="CR31" s="92">
        <v>1</v>
      </c>
      <c r="CS31" s="92">
        <f t="shared" si="30"/>
        <v>8.865600190132357</v>
      </c>
      <c r="CT31" s="92">
        <f t="shared" si="31"/>
        <v>2130.7210848607324</v>
      </c>
      <c r="CU31" s="42"/>
      <c r="CV31" s="92">
        <v>384</v>
      </c>
      <c r="CW31" s="92">
        <f t="shared" si="32"/>
        <v>17</v>
      </c>
      <c r="CX31" s="92">
        <f t="shared" si="33"/>
        <v>4.184615384615385</v>
      </c>
      <c r="CY31" s="92">
        <f t="shared" si="34"/>
        <v>48.50526315789474</v>
      </c>
      <c r="CZ31" s="92">
        <v>8</v>
      </c>
      <c r="DA31" s="92">
        <v>6</v>
      </c>
      <c r="DB31" s="92">
        <v>1</v>
      </c>
      <c r="DC31" s="92">
        <f t="shared" si="35"/>
        <v>10.389458816039895</v>
      </c>
      <c r="DD31" s="92">
        <f t="shared" si="67"/>
        <v>2248.907545011512</v>
      </c>
      <c r="DE31" s="42"/>
      <c r="DF31" s="92">
        <v>234</v>
      </c>
      <c r="DG31" s="92">
        <f t="shared" si="37"/>
        <v>19.428571428571427</v>
      </c>
      <c r="DH31" s="92">
        <f t="shared" si="38"/>
        <v>4.533333333333333</v>
      </c>
      <c r="DI31" s="92">
        <f t="shared" si="39"/>
        <v>48.50526315789474</v>
      </c>
      <c r="DJ31" s="92">
        <v>8</v>
      </c>
      <c r="DK31" s="92">
        <v>6</v>
      </c>
      <c r="DL31" s="92">
        <v>1</v>
      </c>
      <c r="DM31" s="92">
        <f t="shared" si="40"/>
        <v>11.390102580133913</v>
      </c>
      <c r="DN31" s="92">
        <f t="shared" si="41"/>
        <v>2449.688601137467</v>
      </c>
      <c r="DO31" s="42"/>
      <c r="DP31" s="92">
        <v>477</v>
      </c>
      <c r="DQ31" s="92">
        <f t="shared" si="42"/>
        <v>22.666666666666668</v>
      </c>
      <c r="DR31" s="92">
        <f t="shared" si="43"/>
        <v>4.533333333333333</v>
      </c>
      <c r="DS31" s="92">
        <f t="shared" si="44"/>
        <v>48.50526315789474</v>
      </c>
      <c r="DT31" s="92">
        <v>8</v>
      </c>
      <c r="DU31" s="92">
        <v>6</v>
      </c>
      <c r="DV31" s="92">
        <v>1</v>
      </c>
      <c r="DW31" s="92">
        <f t="shared" si="45"/>
        <v>11.784900295615415</v>
      </c>
      <c r="DX31" s="92">
        <f t="shared" si="46"/>
        <v>2578.139701131806</v>
      </c>
      <c r="DY31" s="42"/>
      <c r="DZ31" s="92">
        <v>9999</v>
      </c>
      <c r="EA31" s="73">
        <f t="shared" si="47"/>
        <v>22.666666666666668</v>
      </c>
      <c r="EB31" s="73">
        <f t="shared" si="48"/>
        <v>4.533333333333333</v>
      </c>
      <c r="EC31" s="73">
        <f t="shared" si="49"/>
        <v>48.50526315789474</v>
      </c>
      <c r="ED31" s="92">
        <v>8</v>
      </c>
      <c r="EE31" s="92">
        <v>6</v>
      </c>
      <c r="EF31" s="92">
        <v>1</v>
      </c>
      <c r="EG31" s="92">
        <f t="shared" si="50"/>
        <v>11.784900295615415</v>
      </c>
      <c r="EH31" s="92">
        <f t="shared" si="51"/>
        <v>2578.139701131806</v>
      </c>
      <c r="EI31" s="42"/>
      <c r="EJ31" s="92">
        <v>548</v>
      </c>
      <c r="EK31" s="92">
        <f t="shared" si="52"/>
        <v>34</v>
      </c>
      <c r="EL31" s="92">
        <f t="shared" si="53"/>
        <v>4.945454545454545</v>
      </c>
      <c r="EM31" s="92">
        <f t="shared" si="54"/>
        <v>48.50526315789474</v>
      </c>
      <c r="EN31" s="92">
        <v>8</v>
      </c>
      <c r="EO31" s="92">
        <v>6</v>
      </c>
      <c r="EP31" s="92">
        <v>1</v>
      </c>
      <c r="EQ31" s="92">
        <f t="shared" si="55"/>
        <v>13.613353376141527</v>
      </c>
      <c r="ER31" s="92">
        <f t="shared" si="56"/>
        <v>2948.226922901691</v>
      </c>
      <c r="ES31" s="42"/>
      <c r="ET31" s="73">
        <v>50</v>
      </c>
      <c r="EU31" s="73">
        <v>0</v>
      </c>
      <c r="EV31" s="73">
        <v>0</v>
      </c>
      <c r="EW31" s="73">
        <v>0</v>
      </c>
      <c r="EX31" s="73">
        <v>50</v>
      </c>
      <c r="EY31" s="73">
        <v>0</v>
      </c>
      <c r="EZ31" s="73">
        <v>0</v>
      </c>
      <c r="FA31" s="73">
        <v>0</v>
      </c>
      <c r="FB31" s="73">
        <v>0</v>
      </c>
      <c r="FC31" s="92">
        <f t="shared" si="57"/>
        <v>2260.4956511292626</v>
      </c>
    </row>
    <row r="32" spans="1:159" s="4" customFormat="1" ht="17.25">
      <c r="A32" s="71">
        <v>28</v>
      </c>
      <c r="B32" s="94" t="s">
        <v>433</v>
      </c>
      <c r="C32" s="75">
        <v>2</v>
      </c>
      <c r="D32" s="94">
        <v>4</v>
      </c>
      <c r="E32" s="75">
        <v>670</v>
      </c>
      <c r="F32" s="75">
        <v>1660</v>
      </c>
      <c r="G32" s="94">
        <f t="shared" si="0"/>
        <v>670</v>
      </c>
      <c r="H32" s="94">
        <v>256</v>
      </c>
      <c r="I32" s="72">
        <f t="shared" si="70"/>
        <v>16</v>
      </c>
      <c r="J32" s="94">
        <v>16</v>
      </c>
      <c r="K32" s="94">
        <v>16</v>
      </c>
      <c r="L32" s="94" t="s">
        <v>25</v>
      </c>
      <c r="M32" s="94">
        <v>320</v>
      </c>
      <c r="N32" s="94" t="s">
        <v>25</v>
      </c>
      <c r="O32" s="94" t="s">
        <v>21</v>
      </c>
      <c r="P32" s="77">
        <f t="shared" si="58"/>
        <v>293.4465441450136</v>
      </c>
      <c r="Q32" s="78">
        <f t="shared" si="1"/>
        <v>3621.7565451927103</v>
      </c>
      <c r="R32" s="78"/>
      <c r="S32" s="89">
        <v>512</v>
      </c>
      <c r="T32" s="90">
        <v>40</v>
      </c>
      <c r="U32" s="90">
        <v>175</v>
      </c>
      <c r="V32" s="94" t="s">
        <v>55</v>
      </c>
      <c r="W32" s="94" t="s">
        <v>29</v>
      </c>
      <c r="X32" s="14" t="s">
        <v>428</v>
      </c>
      <c r="Y32" s="94" t="s">
        <v>40</v>
      </c>
      <c r="Z32" s="81">
        <v>10.5</v>
      </c>
      <c r="AA32" s="124" t="s">
        <v>559</v>
      </c>
      <c r="AB32" s="94">
        <v>10.1</v>
      </c>
      <c r="AC32" s="96">
        <v>3</v>
      </c>
      <c r="AD32" s="97">
        <v>210</v>
      </c>
      <c r="AE32" s="98">
        <f>666*C32</f>
        <v>1332</v>
      </c>
      <c r="AF32" s="99">
        <v>55</v>
      </c>
      <c r="AG32" s="94"/>
      <c r="AH32" s="91"/>
      <c r="AI32" s="87">
        <f t="shared" si="61"/>
        <v>21.44</v>
      </c>
      <c r="AJ32" s="91">
        <f t="shared" si="62"/>
        <v>21.44</v>
      </c>
      <c r="AK32" s="91">
        <f t="shared" si="63"/>
        <v>10.72</v>
      </c>
      <c r="AL32" s="87">
        <f t="shared" si="64"/>
        <v>35.733333333333334</v>
      </c>
      <c r="AM32" s="92">
        <f>H32*F32/(8750+250*AC32)</f>
        <v>44.73263157894737</v>
      </c>
      <c r="AN32" s="73">
        <f>POWER(INT(MIN(C32,D32)),0.55)+LN(INT(MIN(C32,D32)))*0.15</f>
        <v>1.5680577730296172</v>
      </c>
      <c r="AO32" s="87">
        <v>2</v>
      </c>
      <c r="AP32" s="87">
        <v>1</v>
      </c>
      <c r="AQ32" s="87">
        <v>1</v>
      </c>
      <c r="AR32" s="87">
        <v>5</v>
      </c>
      <c r="AS32" s="87">
        <v>5</v>
      </c>
      <c r="AT32" s="87">
        <v>1</v>
      </c>
      <c r="AU32" s="87">
        <v>1</v>
      </c>
      <c r="AV32" s="87">
        <v>2.8</v>
      </c>
      <c r="AW32" s="87">
        <f t="shared" si="8"/>
        <v>21.44</v>
      </c>
      <c r="AX32" s="87">
        <f t="shared" si="9"/>
        <v>18.377142857142857</v>
      </c>
      <c r="AY32" s="91">
        <f t="shared" si="69"/>
        <v>30.8736</v>
      </c>
      <c r="AZ32" s="91">
        <f t="shared" si="11"/>
        <v>52.70902877514481</v>
      </c>
      <c r="BA32" s="91"/>
      <c r="BB32" s="73">
        <v>0.02</v>
      </c>
      <c r="BC32" s="73">
        <f t="shared" si="60"/>
        <v>51.65484819964191</v>
      </c>
      <c r="BD32" s="73">
        <v>4.840412061378459</v>
      </c>
      <c r="BE32" s="87">
        <v>5.680910008889502</v>
      </c>
      <c r="BF32" s="42"/>
      <c r="BG32" s="42"/>
      <c r="BH32" s="92">
        <v>511</v>
      </c>
      <c r="BI32" s="92">
        <f t="shared" si="12"/>
        <v>7.1466666666666665</v>
      </c>
      <c r="BJ32" s="87">
        <f t="shared" si="13"/>
        <v>5.36</v>
      </c>
      <c r="BK32" s="87">
        <f t="shared" si="14"/>
        <v>44.73263157894737</v>
      </c>
      <c r="BL32" s="87">
        <v>8</v>
      </c>
      <c r="BM32" s="87">
        <v>6</v>
      </c>
      <c r="BN32" s="87">
        <v>1</v>
      </c>
      <c r="BO32" s="93">
        <f t="shared" si="15"/>
        <v>8.845013629903466</v>
      </c>
      <c r="BP32" s="73">
        <f t="shared" si="66"/>
        <v>1824.2796651577162</v>
      </c>
      <c r="BQ32" s="42"/>
      <c r="BR32" s="92">
        <v>111</v>
      </c>
      <c r="BS32" s="92">
        <f t="shared" si="17"/>
        <v>6.7</v>
      </c>
      <c r="BT32" s="87">
        <f t="shared" si="18"/>
        <v>5.36</v>
      </c>
      <c r="BU32" s="92">
        <f t="shared" si="19"/>
        <v>44.73263157894737</v>
      </c>
      <c r="BV32" s="87">
        <v>8</v>
      </c>
      <c r="BW32" s="87">
        <v>6</v>
      </c>
      <c r="BX32" s="87">
        <v>1</v>
      </c>
      <c r="BY32" s="93">
        <f t="shared" si="20"/>
        <v>8.562421340855542</v>
      </c>
      <c r="BZ32" s="92">
        <f t="shared" si="21"/>
        <v>2283.897068342773</v>
      </c>
      <c r="CA32" s="42"/>
      <c r="CB32" s="92">
        <v>122</v>
      </c>
      <c r="CC32" s="92">
        <f t="shared" si="22"/>
        <v>17.866666666666667</v>
      </c>
      <c r="CD32" s="87">
        <f t="shared" si="23"/>
        <v>2.382222222222222</v>
      </c>
      <c r="CE32" s="92">
        <f t="shared" si="71"/>
        <v>44.73263157894737</v>
      </c>
      <c r="CF32" s="87">
        <v>8</v>
      </c>
      <c r="CG32" s="87">
        <v>6</v>
      </c>
      <c r="CH32" s="87">
        <v>1</v>
      </c>
      <c r="CI32" s="93">
        <f t="shared" si="25"/>
        <v>6.691709372682799</v>
      </c>
      <c r="CJ32" s="92">
        <f t="shared" si="26"/>
        <v>1815.9804539784127</v>
      </c>
      <c r="CK32" s="42"/>
      <c r="CL32" s="92">
        <v>388</v>
      </c>
      <c r="CM32" s="92">
        <f t="shared" si="27"/>
        <v>13.4</v>
      </c>
      <c r="CN32" s="92">
        <f t="shared" si="28"/>
        <v>2.68</v>
      </c>
      <c r="CO32" s="92">
        <f t="shared" si="29"/>
        <v>44.73263157894737</v>
      </c>
      <c r="CP32" s="92">
        <v>8</v>
      </c>
      <c r="CQ32" s="92">
        <v>6</v>
      </c>
      <c r="CR32" s="92">
        <v>1</v>
      </c>
      <c r="CS32" s="92">
        <f t="shared" si="30"/>
        <v>6.997469860123448</v>
      </c>
      <c r="CT32" s="92">
        <f t="shared" si="31"/>
        <v>1709.8310336285583</v>
      </c>
      <c r="CU32" s="42"/>
      <c r="CV32" s="92">
        <v>384</v>
      </c>
      <c r="CW32" s="92">
        <f t="shared" si="32"/>
        <v>13.4</v>
      </c>
      <c r="CX32" s="92">
        <f t="shared" si="33"/>
        <v>3.2984615384615386</v>
      </c>
      <c r="CY32" s="92">
        <f t="shared" si="34"/>
        <v>44.73263157894737</v>
      </c>
      <c r="CZ32" s="92">
        <v>8</v>
      </c>
      <c r="DA32" s="92">
        <v>6</v>
      </c>
      <c r="DB32" s="92">
        <v>1</v>
      </c>
      <c r="DC32" s="92">
        <f t="shared" si="35"/>
        <v>8.202100338629553</v>
      </c>
      <c r="DD32" s="92">
        <f t="shared" si="67"/>
        <v>1805.0552636246812</v>
      </c>
      <c r="DE32" s="42"/>
      <c r="DF32" s="92">
        <v>234</v>
      </c>
      <c r="DG32" s="92">
        <f t="shared" si="37"/>
        <v>15.314285714285715</v>
      </c>
      <c r="DH32" s="92">
        <f t="shared" si="38"/>
        <v>3.5733333333333333</v>
      </c>
      <c r="DI32" s="92">
        <f t="shared" si="39"/>
        <v>44.73263157894737</v>
      </c>
      <c r="DJ32" s="92">
        <v>8</v>
      </c>
      <c r="DK32" s="92">
        <v>6</v>
      </c>
      <c r="DL32" s="92">
        <v>1</v>
      </c>
      <c r="DM32" s="92">
        <f t="shared" si="40"/>
        <v>8.993422102052968</v>
      </c>
      <c r="DN32" s="92">
        <f t="shared" si="41"/>
        <v>1966.4839643833654</v>
      </c>
      <c r="DO32" s="42"/>
      <c r="DP32" s="92">
        <v>477</v>
      </c>
      <c r="DQ32" s="92">
        <f t="shared" si="42"/>
        <v>17.866666666666667</v>
      </c>
      <c r="DR32" s="92">
        <f t="shared" si="43"/>
        <v>3.5733333333333333</v>
      </c>
      <c r="DS32" s="92">
        <f t="shared" si="44"/>
        <v>44.73263157894737</v>
      </c>
      <c r="DT32" s="92">
        <v>8</v>
      </c>
      <c r="DU32" s="92">
        <v>6</v>
      </c>
      <c r="DV32" s="92">
        <v>1</v>
      </c>
      <c r="DW32" s="92">
        <f t="shared" si="45"/>
        <v>9.30569849967235</v>
      </c>
      <c r="DX32" s="92">
        <f t="shared" si="46"/>
        <v>2069.711901629781</v>
      </c>
      <c r="DY32" s="42"/>
      <c r="DZ32" s="92">
        <v>9999</v>
      </c>
      <c r="EA32" s="73">
        <f t="shared" si="47"/>
        <v>17.866666666666667</v>
      </c>
      <c r="EB32" s="73">
        <f t="shared" si="48"/>
        <v>3.5733333333333333</v>
      </c>
      <c r="EC32" s="73">
        <f t="shared" si="49"/>
        <v>44.73263157894737</v>
      </c>
      <c r="ED32" s="92">
        <v>8</v>
      </c>
      <c r="EE32" s="92">
        <v>6</v>
      </c>
      <c r="EF32" s="92">
        <v>1</v>
      </c>
      <c r="EG32" s="92">
        <f t="shared" si="50"/>
        <v>9.30569849967235</v>
      </c>
      <c r="EH32" s="92">
        <f t="shared" si="51"/>
        <v>2069.711901629781</v>
      </c>
      <c r="EI32" s="42"/>
      <c r="EJ32" s="92">
        <v>548</v>
      </c>
      <c r="EK32" s="92">
        <f t="shared" si="52"/>
        <v>26.8</v>
      </c>
      <c r="EL32" s="92">
        <f t="shared" si="53"/>
        <v>3.898181818181818</v>
      </c>
      <c r="EM32" s="92">
        <f t="shared" si="54"/>
        <v>44.73263157894737</v>
      </c>
      <c r="EN32" s="92">
        <v>8</v>
      </c>
      <c r="EO32" s="92">
        <v>6</v>
      </c>
      <c r="EP32" s="92">
        <v>1</v>
      </c>
      <c r="EQ32" s="92">
        <f t="shared" si="55"/>
        <v>10.75244761582864</v>
      </c>
      <c r="ER32" s="92">
        <f t="shared" si="56"/>
        <v>2367.4192242582785</v>
      </c>
      <c r="ES32" s="42"/>
      <c r="ET32" s="73">
        <v>50</v>
      </c>
      <c r="EU32" s="73">
        <v>0</v>
      </c>
      <c r="EV32" s="73">
        <v>0</v>
      </c>
      <c r="EW32" s="73">
        <v>0</v>
      </c>
      <c r="EX32" s="73">
        <v>50</v>
      </c>
      <c r="EY32" s="73">
        <v>0</v>
      </c>
      <c r="EZ32" s="73">
        <v>0</v>
      </c>
      <c r="FA32" s="73">
        <v>0</v>
      </c>
      <c r="FB32" s="73">
        <v>0</v>
      </c>
      <c r="FC32" s="92">
        <f t="shared" si="57"/>
        <v>1810.8782725963551</v>
      </c>
    </row>
    <row r="33" spans="1:159" s="4" customFormat="1" ht="17.25">
      <c r="A33" s="71">
        <v>29</v>
      </c>
      <c r="B33" s="94" t="s">
        <v>434</v>
      </c>
      <c r="C33" s="75">
        <v>1</v>
      </c>
      <c r="D33" s="94">
        <v>4</v>
      </c>
      <c r="E33" s="75">
        <v>775</v>
      </c>
      <c r="F33" s="75">
        <v>2250</v>
      </c>
      <c r="G33" s="94">
        <f aca="true" t="shared" si="72" ref="G33:G64">E33</f>
        <v>775</v>
      </c>
      <c r="H33" s="94">
        <v>256</v>
      </c>
      <c r="I33" s="72">
        <f t="shared" si="70"/>
        <v>16</v>
      </c>
      <c r="J33" s="94">
        <v>16</v>
      </c>
      <c r="K33" s="94">
        <v>16</v>
      </c>
      <c r="L33" s="94" t="s">
        <v>25</v>
      </c>
      <c r="M33" s="94">
        <v>320</v>
      </c>
      <c r="N33" s="94" t="s">
        <v>25</v>
      </c>
      <c r="O33" s="94" t="s">
        <v>21</v>
      </c>
      <c r="P33" s="77">
        <f t="shared" si="58"/>
        <v>222.9308572665412</v>
      </c>
      <c r="Q33" s="78">
        <f aca="true" t="shared" si="73" ref="Q33:Q52">MIN(FC33,9900)*INT(C33)</f>
        <v>2078.748706053224</v>
      </c>
      <c r="R33" s="78"/>
      <c r="S33" s="89">
        <v>512</v>
      </c>
      <c r="T33" s="90">
        <v>20</v>
      </c>
      <c r="U33" s="90">
        <v>125</v>
      </c>
      <c r="V33" s="94" t="s">
        <v>37</v>
      </c>
      <c r="W33" s="94" t="s">
        <v>42</v>
      </c>
      <c r="X33" s="14" t="s">
        <v>41</v>
      </c>
      <c r="Y33" s="94" t="s">
        <v>40</v>
      </c>
      <c r="Z33" s="95">
        <v>9</v>
      </c>
      <c r="AA33" s="124" t="s">
        <v>559</v>
      </c>
      <c r="AB33" s="94">
        <v>10.1</v>
      </c>
      <c r="AC33" s="96">
        <v>3</v>
      </c>
      <c r="AD33" s="97">
        <v>210</v>
      </c>
      <c r="AE33" s="98">
        <f>666*C33</f>
        <v>666</v>
      </c>
      <c r="AF33" s="99">
        <v>55</v>
      </c>
      <c r="AG33" s="94"/>
      <c r="AH33" s="91"/>
      <c r="AI33" s="87">
        <f t="shared" si="61"/>
        <v>24.8</v>
      </c>
      <c r="AJ33" s="91">
        <f t="shared" si="62"/>
        <v>24.8</v>
      </c>
      <c r="AK33" s="91">
        <f t="shared" si="63"/>
        <v>12.4</v>
      </c>
      <c r="AL33" s="87">
        <f t="shared" si="64"/>
        <v>41.333333333333336</v>
      </c>
      <c r="AM33" s="92">
        <f>H33*F33/(8750+250*AC33)</f>
        <v>60.63157894736842</v>
      </c>
      <c r="AN33" s="73">
        <f aca="true" t="shared" si="74" ref="AN33:AN56">POWER(INT(MIN(C33,D33)),0.7)+LN(INT(MIN(C33,D33)))*0.23</f>
        <v>1</v>
      </c>
      <c r="AO33" s="87">
        <v>2</v>
      </c>
      <c r="AP33" s="87">
        <v>1</v>
      </c>
      <c r="AQ33" s="87">
        <v>1</v>
      </c>
      <c r="AR33" s="87">
        <v>5</v>
      </c>
      <c r="AS33" s="87">
        <v>5</v>
      </c>
      <c r="AT33" s="87">
        <v>1</v>
      </c>
      <c r="AU33" s="87">
        <v>1</v>
      </c>
      <c r="AV33" s="87">
        <v>2.8</v>
      </c>
      <c r="AW33" s="87">
        <f aca="true" t="shared" si="75" ref="AW33:AW64">AI33*AJ33*(AO33+AP33)/(AI33*AO33+AJ33*AP33)</f>
        <v>24.800000000000004</v>
      </c>
      <c r="AX33" s="87">
        <f aca="true" t="shared" si="76" ref="AX33:AX64">(AQ33+AR33)*AW33*AK33/(AW33*AQ33+AK33*AR33)</f>
        <v>21.257142857142856</v>
      </c>
      <c r="AY33" s="91">
        <f t="shared" si="69"/>
        <v>35.712</v>
      </c>
      <c r="AZ33" s="91">
        <f aca="true" t="shared" si="77" ref="AZ33:AZ64">AY33*AM33*(AU33+AV33)/(AY33*AU33+AV33*AM33)*AN33</f>
        <v>40.04296252581882</v>
      </c>
      <c r="BA33" s="91"/>
      <c r="BB33" s="73">
        <v>0.02</v>
      </c>
      <c r="BC33" s="73">
        <f t="shared" si="60"/>
        <v>39.24210327530245</v>
      </c>
      <c r="BD33" s="73">
        <v>4.840412061378459</v>
      </c>
      <c r="BE33" s="87">
        <v>5.680910008889502</v>
      </c>
      <c r="BF33" s="42"/>
      <c r="BG33" s="42"/>
      <c r="BH33" s="92">
        <v>511</v>
      </c>
      <c r="BI33" s="92">
        <f aca="true" t="shared" si="78" ref="BI33:BI52">E33*K33/1500</f>
        <v>8.266666666666667</v>
      </c>
      <c r="BJ33" s="87">
        <f aca="true" t="shared" si="79" ref="BJ33:BJ52">G33*M33/40000</f>
        <v>6.2</v>
      </c>
      <c r="BK33" s="87">
        <f aca="true" t="shared" si="80" ref="BK33:BK52">AM33</f>
        <v>60.63157894736842</v>
      </c>
      <c r="BL33" s="87">
        <v>8</v>
      </c>
      <c r="BM33" s="87">
        <v>6</v>
      </c>
      <c r="BN33" s="87">
        <v>1</v>
      </c>
      <c r="BO33" s="93">
        <f aca="true" t="shared" si="81" ref="BO33:BO52">20/(BL33/BI33+BM33/BJ33+BN33/BK33)</f>
        <v>10.246022751725029</v>
      </c>
      <c r="BP33" s="73">
        <f t="shared" si="66"/>
        <v>2097.758000690119</v>
      </c>
      <c r="BQ33" s="42"/>
      <c r="BR33" s="92">
        <v>111</v>
      </c>
      <c r="BS33" s="92">
        <f aca="true" t="shared" si="82" ref="BS33:BS52">E33*K33/1600</f>
        <v>7.75</v>
      </c>
      <c r="BT33" s="87">
        <f aca="true" t="shared" si="83" ref="BT33:BT52">G33*M33/40000</f>
        <v>6.2</v>
      </c>
      <c r="BU33" s="92">
        <f aca="true" t="shared" si="84" ref="BU33:BU52">AM33</f>
        <v>60.63157894736842</v>
      </c>
      <c r="BV33" s="87">
        <v>8</v>
      </c>
      <c r="BW33" s="87">
        <v>6</v>
      </c>
      <c r="BX33" s="87">
        <v>1</v>
      </c>
      <c r="BY33" s="93">
        <f aca="true" t="shared" si="85" ref="BY33:BY52">20/(BV33/BS33+BW33/BT33+BX33/BU33)</f>
        <v>9.918209212225571</v>
      </c>
      <c r="BZ33" s="92">
        <f aca="true" t="shared" si="86" ref="BZ33:BZ52">POWER(BY33,0.93)*310</f>
        <v>2618.4520794174414</v>
      </c>
      <c r="CA33" s="42"/>
      <c r="CB33" s="92">
        <v>122</v>
      </c>
      <c r="CC33" s="92">
        <f aca="true" t="shared" si="87" ref="CC33:CC52">E33*K33/600</f>
        <v>20.666666666666668</v>
      </c>
      <c r="CD33" s="87">
        <f aca="true" t="shared" si="88" ref="CD33:CD52">G33*M33/90000</f>
        <v>2.7555555555555555</v>
      </c>
      <c r="CE33" s="92">
        <f t="shared" si="71"/>
        <v>60.63157894736842</v>
      </c>
      <c r="CF33" s="87">
        <v>8</v>
      </c>
      <c r="CG33" s="87">
        <v>6</v>
      </c>
      <c r="CH33" s="87">
        <v>1</v>
      </c>
      <c r="CI33" s="93">
        <f aca="true" t="shared" si="89" ref="CI33:CI52">20/(CF33/CC33+CG33/CD33+CH33/CE33)</f>
        <v>7.748906946719756</v>
      </c>
      <c r="CJ33" s="92">
        <f aca="true" t="shared" si="90" ref="CJ33:CJ52">POWER(CI33,0.93)*310</f>
        <v>2081.3988405789833</v>
      </c>
      <c r="CK33" s="42"/>
      <c r="CL33" s="92">
        <v>388</v>
      </c>
      <c r="CM33" s="92">
        <f aca="true" t="shared" si="91" ref="CM33:CM52">E33*K33/800</f>
        <v>15.5</v>
      </c>
      <c r="CN33" s="92">
        <f aca="true" t="shared" si="92" ref="CN33:CN52">G33*M33/80000</f>
        <v>3.1</v>
      </c>
      <c r="CO33" s="92">
        <f aca="true" t="shared" si="93" ref="CO33:CO52">AM33</f>
        <v>60.63157894736842</v>
      </c>
      <c r="CP33" s="92">
        <v>8</v>
      </c>
      <c r="CQ33" s="92">
        <v>6</v>
      </c>
      <c r="CR33" s="92">
        <v>1</v>
      </c>
      <c r="CS33" s="92">
        <f aca="true" t="shared" si="94" ref="CS33:CS52">20/(CP33/CM33+CQ33/CN33+CR33/CO33)</f>
        <v>8.10337981189231</v>
      </c>
      <c r="CT33" s="92">
        <f aca="true" t="shared" si="95" ref="CT33:CT52">POWER(CS33,0.93)*280</f>
        <v>1959.8263513891593</v>
      </c>
      <c r="CU33" s="42"/>
      <c r="CV33" s="92">
        <v>384</v>
      </c>
      <c r="CW33" s="92">
        <f aca="true" t="shared" si="96" ref="CW33:CW52">E33*K33/800</f>
        <v>15.5</v>
      </c>
      <c r="CX33" s="92">
        <f aca="true" t="shared" si="97" ref="CX33:CX52">G33*M33/65000</f>
        <v>3.8153846153846156</v>
      </c>
      <c r="CY33" s="92">
        <f aca="true" t="shared" si="98" ref="CY33:CY52">AM33</f>
        <v>60.63157894736842</v>
      </c>
      <c r="CZ33" s="92">
        <v>8</v>
      </c>
      <c r="DA33" s="92">
        <v>6</v>
      </c>
      <c r="DB33" s="92">
        <v>1</v>
      </c>
      <c r="DC33" s="92">
        <f aca="true" t="shared" si="99" ref="DC33:DC52">20/(CZ33/CW33+DA33/CX33+DB33/CY33)</f>
        <v>9.500272675276998</v>
      </c>
      <c r="DD33" s="92">
        <f t="shared" si="67"/>
        <v>2069.353691035944</v>
      </c>
      <c r="DE33" s="42"/>
      <c r="DF33" s="92">
        <v>234</v>
      </c>
      <c r="DG33" s="92">
        <f aca="true" t="shared" si="100" ref="DG33:DG52">E33*K33/700</f>
        <v>17.714285714285715</v>
      </c>
      <c r="DH33" s="92">
        <f aca="true" t="shared" si="101" ref="DH33:DH52">G33*M33/60000</f>
        <v>4.133333333333334</v>
      </c>
      <c r="DI33" s="92">
        <f aca="true" t="shared" si="102" ref="DI33:DI52">AM33</f>
        <v>60.63157894736842</v>
      </c>
      <c r="DJ33" s="92">
        <v>8</v>
      </c>
      <c r="DK33" s="92">
        <v>6</v>
      </c>
      <c r="DL33" s="92">
        <v>1</v>
      </c>
      <c r="DM33" s="92">
        <f aca="true" t="shared" si="103" ref="DM33:DM52">20/(DJ33/DG33+DK33/DH33+DL33/DI33)</f>
        <v>10.418192161267267</v>
      </c>
      <c r="DN33" s="92">
        <f aca="true" t="shared" si="104" ref="DN33:DN52">POWER(DM33,0.93)*255</f>
        <v>2254.6912457843564</v>
      </c>
      <c r="DO33" s="42"/>
      <c r="DP33" s="92">
        <v>477</v>
      </c>
      <c r="DQ33" s="92">
        <f aca="true" t="shared" si="105" ref="DQ33:DQ52">E33*K33/600</f>
        <v>20.666666666666668</v>
      </c>
      <c r="DR33" s="92">
        <f aca="true" t="shared" si="106" ref="DR33:DR52">G33*M33/60000</f>
        <v>4.133333333333334</v>
      </c>
      <c r="DS33" s="92">
        <f aca="true" t="shared" si="107" ref="DS33:DS52">AM33</f>
        <v>60.63157894736842</v>
      </c>
      <c r="DT33" s="92">
        <v>8</v>
      </c>
      <c r="DU33" s="92">
        <v>6</v>
      </c>
      <c r="DV33" s="92">
        <v>1</v>
      </c>
      <c r="DW33" s="92">
        <f aca="true" t="shared" si="108" ref="DW33:DW52">20/(DT33/DQ33+DU33/DR33+DV33/DS33)</f>
        <v>10.780492958809415</v>
      </c>
      <c r="DX33" s="92">
        <f aca="true" t="shared" si="109" ref="DX33:DX52">POWER(DW33,0.93)*260</f>
        <v>2373.1613398004943</v>
      </c>
      <c r="DY33" s="42"/>
      <c r="DZ33" s="92">
        <v>9999</v>
      </c>
      <c r="EA33" s="73">
        <f aca="true" t="shared" si="110" ref="EA33:EA52">E33*K33/600</f>
        <v>20.666666666666668</v>
      </c>
      <c r="EB33" s="73">
        <f aca="true" t="shared" si="111" ref="EB33:EB52">G33*M33/60000</f>
        <v>4.133333333333334</v>
      </c>
      <c r="EC33" s="73">
        <f aca="true" t="shared" si="112" ref="EC33:EC52">AM33</f>
        <v>60.63157894736842</v>
      </c>
      <c r="ED33" s="92">
        <v>8</v>
      </c>
      <c r="EE33" s="92">
        <v>6</v>
      </c>
      <c r="EF33" s="92">
        <v>1</v>
      </c>
      <c r="EG33" s="92">
        <f aca="true" t="shared" si="113" ref="EG33:EG52">20/(ED33/EA33+EE33/EB33+EF33/EC33)</f>
        <v>10.780492958809415</v>
      </c>
      <c r="EH33" s="92">
        <f aca="true" t="shared" si="114" ref="EH33:EH52">POWER(EG33,0.93)*260</f>
        <v>2373.1613398004943</v>
      </c>
      <c r="EI33" s="42"/>
      <c r="EJ33" s="92">
        <v>548</v>
      </c>
      <c r="EK33" s="92">
        <f aca="true" t="shared" si="115" ref="EK33:EK52">E33*K33/400</f>
        <v>31</v>
      </c>
      <c r="EL33" s="92">
        <f aca="true" t="shared" si="116" ref="EL33:EL52">G33*M33/55000</f>
        <v>4.509090909090909</v>
      </c>
      <c r="EM33" s="92">
        <f aca="true" t="shared" si="117" ref="EM33:EM52">AM33</f>
        <v>60.63157894736842</v>
      </c>
      <c r="EN33" s="92">
        <v>8</v>
      </c>
      <c r="EO33" s="92">
        <v>6</v>
      </c>
      <c r="EP33" s="92">
        <v>1</v>
      </c>
      <c r="EQ33" s="92">
        <f aca="true" t="shared" si="118" ref="EQ33:EQ52">20/(EN33/EK33+EO33/EL33+EP33/EM33)</f>
        <v>12.45948539031836</v>
      </c>
      <c r="ER33" s="92">
        <f aca="true" t="shared" si="119" ref="ER33:ER52">POWER(EQ33,0.93)*260</f>
        <v>2715.116354921957</v>
      </c>
      <c r="ES33" s="42"/>
      <c r="ET33" s="73">
        <v>50</v>
      </c>
      <c r="EU33" s="73">
        <v>0</v>
      </c>
      <c r="EV33" s="73">
        <v>0</v>
      </c>
      <c r="EW33" s="73">
        <v>0</v>
      </c>
      <c r="EX33" s="73">
        <v>50</v>
      </c>
      <c r="EY33" s="73">
        <v>0</v>
      </c>
      <c r="EZ33" s="73">
        <v>0</v>
      </c>
      <c r="FA33" s="73">
        <v>0</v>
      </c>
      <c r="FB33" s="73">
        <v>0</v>
      </c>
      <c r="FC33" s="92">
        <f aca="true" t="shared" si="120" ref="FC33:FC52">(BH33*ET33/100+BR33*EU33/100+CB33*EV33/100+CL33*EW33/100+CV33*EX33/100+DF33*EY33/100+DP33*EZ33/100+DZ33*FA33/100+EJ33*FB33/100)/(BH33/BP33*ET33/100+BR33/BZ33*EU33/100+CB33/CJ33*EV33/100+CL33/CT33*EW33/100+CV33/DD33*EX33/100+DF33/DN33*EY33/100+DP33/DX33*EZ33/100+DZ33/EH33*FA33/100+EJ33/ER33*FB33/100+0.000694444444444)</f>
        <v>2078.748706053224</v>
      </c>
    </row>
    <row r="34" spans="1:159" s="4" customFormat="1" ht="17.25">
      <c r="A34" s="71">
        <v>30</v>
      </c>
      <c r="B34" s="94" t="s">
        <v>435</v>
      </c>
      <c r="C34" s="75">
        <v>1</v>
      </c>
      <c r="D34" s="94">
        <v>4</v>
      </c>
      <c r="E34" s="75">
        <v>670</v>
      </c>
      <c r="F34" s="75">
        <v>1660</v>
      </c>
      <c r="G34" s="94">
        <f t="shared" si="72"/>
        <v>670</v>
      </c>
      <c r="H34" s="94">
        <v>256</v>
      </c>
      <c r="I34" s="72">
        <f t="shared" si="70"/>
        <v>16</v>
      </c>
      <c r="J34" s="94">
        <v>16</v>
      </c>
      <c r="K34" s="94">
        <v>16</v>
      </c>
      <c r="L34" s="94" t="s">
        <v>25</v>
      </c>
      <c r="M34" s="94">
        <v>320</v>
      </c>
      <c r="N34" s="94" t="s">
        <v>25</v>
      </c>
      <c r="O34" s="94" t="s">
        <v>21</v>
      </c>
      <c r="P34" s="77">
        <f t="shared" si="58"/>
        <v>187.14013551812613</v>
      </c>
      <c r="Q34" s="78">
        <f t="shared" si="73"/>
        <v>1810.8782725963551</v>
      </c>
      <c r="R34" s="78"/>
      <c r="S34" s="89">
        <v>256</v>
      </c>
      <c r="T34" s="90">
        <v>15</v>
      </c>
      <c r="U34" s="90">
        <v>90</v>
      </c>
      <c r="V34" s="94" t="s">
        <v>37</v>
      </c>
      <c r="W34" s="94" t="s">
        <v>42</v>
      </c>
      <c r="X34" s="14" t="s">
        <v>41</v>
      </c>
      <c r="Y34" s="94" t="s">
        <v>23</v>
      </c>
      <c r="Z34" s="95">
        <v>9</v>
      </c>
      <c r="AA34" s="124" t="s">
        <v>559</v>
      </c>
      <c r="AB34" s="94">
        <v>10.1</v>
      </c>
      <c r="AC34" s="96">
        <v>3</v>
      </c>
      <c r="AD34" s="97">
        <v>210</v>
      </c>
      <c r="AE34" s="98">
        <f>666*C34</f>
        <v>666</v>
      </c>
      <c r="AF34" s="99">
        <v>55</v>
      </c>
      <c r="AG34" s="94"/>
      <c r="AH34" s="91"/>
      <c r="AI34" s="87">
        <f t="shared" si="61"/>
        <v>21.44</v>
      </c>
      <c r="AJ34" s="91">
        <f t="shared" si="62"/>
        <v>21.44</v>
      </c>
      <c r="AK34" s="91">
        <f t="shared" si="63"/>
        <v>10.72</v>
      </c>
      <c r="AL34" s="87">
        <f t="shared" si="64"/>
        <v>35.733333333333334</v>
      </c>
      <c r="AM34" s="92">
        <f>H34*F34/(8750+250*AC34)</f>
        <v>44.73263157894737</v>
      </c>
      <c r="AN34" s="73">
        <f t="shared" si="74"/>
        <v>1</v>
      </c>
      <c r="AO34" s="87">
        <v>2</v>
      </c>
      <c r="AP34" s="87">
        <v>1</v>
      </c>
      <c r="AQ34" s="87">
        <v>1</v>
      </c>
      <c r="AR34" s="87">
        <v>5</v>
      </c>
      <c r="AS34" s="87">
        <v>5</v>
      </c>
      <c r="AT34" s="87">
        <v>1</v>
      </c>
      <c r="AU34" s="87">
        <v>1</v>
      </c>
      <c r="AV34" s="87">
        <v>2.8</v>
      </c>
      <c r="AW34" s="87">
        <f t="shared" si="75"/>
        <v>21.44</v>
      </c>
      <c r="AX34" s="87">
        <f t="shared" si="76"/>
        <v>18.377142857142857</v>
      </c>
      <c r="AY34" s="91">
        <f t="shared" si="69"/>
        <v>30.8736</v>
      </c>
      <c r="AZ34" s="91">
        <f t="shared" si="77"/>
        <v>33.61421350777568</v>
      </c>
      <c r="BA34" s="91"/>
      <c r="BB34" s="73">
        <v>0.02</v>
      </c>
      <c r="BC34" s="73">
        <f t="shared" si="60"/>
        <v>32.941929237620165</v>
      </c>
      <c r="BD34" s="73">
        <v>4.840412061378459</v>
      </c>
      <c r="BE34" s="87">
        <v>5.680910008889502</v>
      </c>
      <c r="BF34" s="42"/>
      <c r="BG34" s="42"/>
      <c r="BH34" s="92">
        <v>511</v>
      </c>
      <c r="BI34" s="92">
        <f t="shared" si="78"/>
        <v>7.1466666666666665</v>
      </c>
      <c r="BJ34" s="87">
        <f t="shared" si="79"/>
        <v>5.36</v>
      </c>
      <c r="BK34" s="87">
        <f t="shared" si="80"/>
        <v>44.73263157894737</v>
      </c>
      <c r="BL34" s="87">
        <v>8</v>
      </c>
      <c r="BM34" s="87">
        <v>6</v>
      </c>
      <c r="BN34" s="87">
        <v>1</v>
      </c>
      <c r="BO34" s="93">
        <f t="shared" si="81"/>
        <v>8.845013629903466</v>
      </c>
      <c r="BP34" s="73">
        <f t="shared" si="66"/>
        <v>1824.2796651577162</v>
      </c>
      <c r="BQ34" s="42"/>
      <c r="BR34" s="92">
        <v>111</v>
      </c>
      <c r="BS34" s="92">
        <f t="shared" si="82"/>
        <v>6.7</v>
      </c>
      <c r="BT34" s="87">
        <f t="shared" si="83"/>
        <v>5.36</v>
      </c>
      <c r="BU34" s="92">
        <f t="shared" si="84"/>
        <v>44.73263157894737</v>
      </c>
      <c r="BV34" s="87">
        <v>8</v>
      </c>
      <c r="BW34" s="87">
        <v>6</v>
      </c>
      <c r="BX34" s="87">
        <v>1</v>
      </c>
      <c r="BY34" s="93">
        <f t="shared" si="85"/>
        <v>8.562421340855542</v>
      </c>
      <c r="BZ34" s="92">
        <f t="shared" si="86"/>
        <v>2283.897068342773</v>
      </c>
      <c r="CA34" s="42"/>
      <c r="CB34" s="92">
        <v>122</v>
      </c>
      <c r="CC34" s="92">
        <f t="shared" si="87"/>
        <v>17.866666666666667</v>
      </c>
      <c r="CD34" s="87">
        <f t="shared" si="88"/>
        <v>2.382222222222222</v>
      </c>
      <c r="CE34" s="92">
        <f t="shared" si="71"/>
        <v>44.73263157894737</v>
      </c>
      <c r="CF34" s="87">
        <v>8</v>
      </c>
      <c r="CG34" s="87">
        <v>6</v>
      </c>
      <c r="CH34" s="87">
        <v>1</v>
      </c>
      <c r="CI34" s="93">
        <f t="shared" si="89"/>
        <v>6.691709372682799</v>
      </c>
      <c r="CJ34" s="92">
        <f t="shared" si="90"/>
        <v>1815.9804539784127</v>
      </c>
      <c r="CK34" s="42"/>
      <c r="CL34" s="92">
        <v>388</v>
      </c>
      <c r="CM34" s="92">
        <f t="shared" si="91"/>
        <v>13.4</v>
      </c>
      <c r="CN34" s="92">
        <f t="shared" si="92"/>
        <v>2.68</v>
      </c>
      <c r="CO34" s="92">
        <f t="shared" si="93"/>
        <v>44.73263157894737</v>
      </c>
      <c r="CP34" s="92">
        <v>8</v>
      </c>
      <c r="CQ34" s="92">
        <v>6</v>
      </c>
      <c r="CR34" s="92">
        <v>1</v>
      </c>
      <c r="CS34" s="92">
        <f t="shared" si="94"/>
        <v>6.997469860123448</v>
      </c>
      <c r="CT34" s="92">
        <f t="shared" si="95"/>
        <v>1709.8310336285583</v>
      </c>
      <c r="CU34" s="42"/>
      <c r="CV34" s="92">
        <v>384</v>
      </c>
      <c r="CW34" s="92">
        <f t="shared" si="96"/>
        <v>13.4</v>
      </c>
      <c r="CX34" s="92">
        <f t="shared" si="97"/>
        <v>3.2984615384615386</v>
      </c>
      <c r="CY34" s="92">
        <f t="shared" si="98"/>
        <v>44.73263157894737</v>
      </c>
      <c r="CZ34" s="92">
        <v>8</v>
      </c>
      <c r="DA34" s="92">
        <v>6</v>
      </c>
      <c r="DB34" s="92">
        <v>1</v>
      </c>
      <c r="DC34" s="92">
        <f t="shared" si="99"/>
        <v>8.202100338629553</v>
      </c>
      <c r="DD34" s="92">
        <f t="shared" si="67"/>
        <v>1805.0552636246812</v>
      </c>
      <c r="DE34" s="42"/>
      <c r="DF34" s="92">
        <v>234</v>
      </c>
      <c r="DG34" s="92">
        <f t="shared" si="100"/>
        <v>15.314285714285715</v>
      </c>
      <c r="DH34" s="92">
        <f t="shared" si="101"/>
        <v>3.5733333333333333</v>
      </c>
      <c r="DI34" s="92">
        <f t="shared" si="102"/>
        <v>44.73263157894737</v>
      </c>
      <c r="DJ34" s="92">
        <v>8</v>
      </c>
      <c r="DK34" s="92">
        <v>6</v>
      </c>
      <c r="DL34" s="92">
        <v>1</v>
      </c>
      <c r="DM34" s="92">
        <f t="shared" si="103"/>
        <v>8.993422102052968</v>
      </c>
      <c r="DN34" s="92">
        <f t="shared" si="104"/>
        <v>1966.4839643833654</v>
      </c>
      <c r="DO34" s="42"/>
      <c r="DP34" s="92">
        <v>477</v>
      </c>
      <c r="DQ34" s="92">
        <f t="shared" si="105"/>
        <v>17.866666666666667</v>
      </c>
      <c r="DR34" s="92">
        <f t="shared" si="106"/>
        <v>3.5733333333333333</v>
      </c>
      <c r="DS34" s="92">
        <f t="shared" si="107"/>
        <v>44.73263157894737</v>
      </c>
      <c r="DT34" s="92">
        <v>8</v>
      </c>
      <c r="DU34" s="92">
        <v>6</v>
      </c>
      <c r="DV34" s="92">
        <v>1</v>
      </c>
      <c r="DW34" s="92">
        <f t="shared" si="108"/>
        <v>9.30569849967235</v>
      </c>
      <c r="DX34" s="92">
        <f t="shared" si="109"/>
        <v>2069.711901629781</v>
      </c>
      <c r="DY34" s="42"/>
      <c r="DZ34" s="92">
        <v>9999</v>
      </c>
      <c r="EA34" s="73">
        <f t="shared" si="110"/>
        <v>17.866666666666667</v>
      </c>
      <c r="EB34" s="73">
        <f t="shared" si="111"/>
        <v>3.5733333333333333</v>
      </c>
      <c r="EC34" s="73">
        <f t="shared" si="112"/>
        <v>44.73263157894737</v>
      </c>
      <c r="ED34" s="92">
        <v>8</v>
      </c>
      <c r="EE34" s="92">
        <v>6</v>
      </c>
      <c r="EF34" s="92">
        <v>1</v>
      </c>
      <c r="EG34" s="92">
        <f t="shared" si="113"/>
        <v>9.30569849967235</v>
      </c>
      <c r="EH34" s="92">
        <f t="shared" si="114"/>
        <v>2069.711901629781</v>
      </c>
      <c r="EI34" s="42"/>
      <c r="EJ34" s="92">
        <v>548</v>
      </c>
      <c r="EK34" s="92">
        <f t="shared" si="115"/>
        <v>26.8</v>
      </c>
      <c r="EL34" s="92">
        <f t="shared" si="116"/>
        <v>3.898181818181818</v>
      </c>
      <c r="EM34" s="92">
        <f t="shared" si="117"/>
        <v>44.73263157894737</v>
      </c>
      <c r="EN34" s="92">
        <v>8</v>
      </c>
      <c r="EO34" s="92">
        <v>6</v>
      </c>
      <c r="EP34" s="92">
        <v>1</v>
      </c>
      <c r="EQ34" s="92">
        <f t="shared" si="118"/>
        <v>10.75244761582864</v>
      </c>
      <c r="ER34" s="92">
        <f t="shared" si="119"/>
        <v>2367.4192242582785</v>
      </c>
      <c r="ES34" s="42"/>
      <c r="ET34" s="73">
        <v>50</v>
      </c>
      <c r="EU34" s="73">
        <v>0</v>
      </c>
      <c r="EV34" s="73">
        <v>0</v>
      </c>
      <c r="EW34" s="73">
        <v>0</v>
      </c>
      <c r="EX34" s="73">
        <v>50</v>
      </c>
      <c r="EY34" s="73">
        <v>0</v>
      </c>
      <c r="EZ34" s="73">
        <v>0</v>
      </c>
      <c r="FA34" s="73">
        <v>0</v>
      </c>
      <c r="FB34" s="73">
        <v>0</v>
      </c>
      <c r="FC34" s="92">
        <f t="shared" si="120"/>
        <v>1810.8782725963551</v>
      </c>
    </row>
    <row r="35" spans="1:159" s="4" customFormat="1" ht="17.25">
      <c r="A35" s="71">
        <v>31</v>
      </c>
      <c r="B35" s="94" t="s">
        <v>436</v>
      </c>
      <c r="C35" s="75">
        <v>1</v>
      </c>
      <c r="D35" s="94">
        <v>4</v>
      </c>
      <c r="E35" s="75">
        <v>670</v>
      </c>
      <c r="F35" s="75">
        <v>1660</v>
      </c>
      <c r="G35" s="94">
        <f t="shared" si="72"/>
        <v>670</v>
      </c>
      <c r="H35" s="94">
        <v>128</v>
      </c>
      <c r="I35" s="72">
        <f t="shared" si="70"/>
        <v>16</v>
      </c>
      <c r="J35" s="94">
        <v>16</v>
      </c>
      <c r="K35" s="94">
        <v>16</v>
      </c>
      <c r="L35" s="94" t="s">
        <v>25</v>
      </c>
      <c r="M35" s="94">
        <v>320</v>
      </c>
      <c r="N35" s="94" t="s">
        <v>25</v>
      </c>
      <c r="O35" s="94" t="s">
        <v>21</v>
      </c>
      <c r="P35" s="77">
        <f t="shared" si="58"/>
        <v>156.24316268717288</v>
      </c>
      <c r="Q35" s="78">
        <f t="shared" si="73"/>
        <v>1794.742544703791</v>
      </c>
      <c r="R35" s="78"/>
      <c r="S35" s="89">
        <v>256</v>
      </c>
      <c r="T35" s="90">
        <v>15</v>
      </c>
      <c r="U35" s="90">
        <v>90</v>
      </c>
      <c r="V35" s="94" t="s">
        <v>37</v>
      </c>
      <c r="W35" s="94" t="s">
        <v>42</v>
      </c>
      <c r="X35" s="14" t="s">
        <v>41</v>
      </c>
      <c r="Y35" s="94" t="s">
        <v>23</v>
      </c>
      <c r="Z35" s="95">
        <v>9</v>
      </c>
      <c r="AA35" s="124" t="s">
        <v>559</v>
      </c>
      <c r="AB35" s="94">
        <v>10.1</v>
      </c>
      <c r="AC35" s="96">
        <v>3</v>
      </c>
      <c r="AD35" s="97">
        <v>210</v>
      </c>
      <c r="AE35" s="98">
        <f>666*C35</f>
        <v>666</v>
      </c>
      <c r="AF35" s="99">
        <v>55</v>
      </c>
      <c r="AG35" s="94"/>
      <c r="AH35" s="91"/>
      <c r="AI35" s="87">
        <f t="shared" si="61"/>
        <v>21.44</v>
      </c>
      <c r="AJ35" s="91">
        <f t="shared" si="62"/>
        <v>21.44</v>
      </c>
      <c r="AK35" s="91">
        <f t="shared" si="63"/>
        <v>10.72</v>
      </c>
      <c r="AL35" s="87">
        <f t="shared" si="64"/>
        <v>35.733333333333334</v>
      </c>
      <c r="AM35" s="92">
        <f>H35*F35/(8750+250*AC35)</f>
        <v>22.366315789473685</v>
      </c>
      <c r="AN35" s="73">
        <f t="shared" si="74"/>
        <v>1</v>
      </c>
      <c r="AO35" s="87">
        <v>2</v>
      </c>
      <c r="AP35" s="87">
        <v>1</v>
      </c>
      <c r="AQ35" s="87">
        <v>1</v>
      </c>
      <c r="AR35" s="87">
        <v>5</v>
      </c>
      <c r="AS35" s="87">
        <v>5</v>
      </c>
      <c r="AT35" s="87">
        <v>1</v>
      </c>
      <c r="AU35" s="87">
        <v>1</v>
      </c>
      <c r="AV35" s="87">
        <v>2.8</v>
      </c>
      <c r="AW35" s="87">
        <f t="shared" si="75"/>
        <v>21.44</v>
      </c>
      <c r="AX35" s="87">
        <f t="shared" si="76"/>
        <v>18.377142857142857</v>
      </c>
      <c r="AY35" s="91">
        <f t="shared" si="69"/>
        <v>30.8736</v>
      </c>
      <c r="AZ35" s="91">
        <f t="shared" si="77"/>
        <v>28.064482347176988</v>
      </c>
      <c r="BA35" s="91"/>
      <c r="BB35" s="73">
        <v>0.02</v>
      </c>
      <c r="BC35" s="73">
        <f t="shared" si="60"/>
        <v>27.50319270023345</v>
      </c>
      <c r="BD35" s="73">
        <v>4.840412061378459</v>
      </c>
      <c r="BE35" s="87">
        <v>5.680910008889502</v>
      </c>
      <c r="BF35" s="42"/>
      <c r="BG35" s="42"/>
      <c r="BH35" s="92">
        <v>511</v>
      </c>
      <c r="BI35" s="92">
        <f t="shared" si="78"/>
        <v>7.1466666666666665</v>
      </c>
      <c r="BJ35" s="87">
        <f t="shared" si="79"/>
        <v>5.36</v>
      </c>
      <c r="BK35" s="87">
        <f t="shared" si="80"/>
        <v>22.366315789473685</v>
      </c>
      <c r="BL35" s="87">
        <v>8</v>
      </c>
      <c r="BM35" s="87">
        <v>6</v>
      </c>
      <c r="BN35" s="87">
        <v>1</v>
      </c>
      <c r="BO35" s="93">
        <f t="shared" si="81"/>
        <v>8.758423181629421</v>
      </c>
      <c r="BP35" s="73">
        <f t="shared" si="66"/>
        <v>1807.3092233948107</v>
      </c>
      <c r="BQ35" s="42"/>
      <c r="BR35" s="92">
        <v>111</v>
      </c>
      <c r="BS35" s="92">
        <f t="shared" si="82"/>
        <v>6.7</v>
      </c>
      <c r="BT35" s="87">
        <f t="shared" si="83"/>
        <v>5.36</v>
      </c>
      <c r="BU35" s="92">
        <f t="shared" si="84"/>
        <v>22.366315789473685</v>
      </c>
      <c r="BV35" s="87">
        <v>8</v>
      </c>
      <c r="BW35" s="87">
        <v>6</v>
      </c>
      <c r="BX35" s="87">
        <v>1</v>
      </c>
      <c r="BY35" s="93">
        <f t="shared" si="85"/>
        <v>8.481250130321202</v>
      </c>
      <c r="BZ35" s="92">
        <f t="shared" si="86"/>
        <v>2263.75474946733</v>
      </c>
      <c r="CA35" s="42"/>
      <c r="CB35" s="92">
        <v>122</v>
      </c>
      <c r="CC35" s="92">
        <f t="shared" si="87"/>
        <v>17.866666666666667</v>
      </c>
      <c r="CD35" s="87">
        <f t="shared" si="88"/>
        <v>2.382222222222222</v>
      </c>
      <c r="CE35" s="92">
        <f t="shared" si="71"/>
        <v>22.366315789473685</v>
      </c>
      <c r="CF35" s="87">
        <v>8</v>
      </c>
      <c r="CG35" s="87">
        <v>6</v>
      </c>
      <c r="CH35" s="87">
        <v>1</v>
      </c>
      <c r="CI35" s="93">
        <f t="shared" si="89"/>
        <v>6.642029164693504</v>
      </c>
      <c r="CJ35" s="92">
        <f t="shared" si="90"/>
        <v>1803.438835439979</v>
      </c>
      <c r="CK35" s="42"/>
      <c r="CL35" s="92">
        <v>388</v>
      </c>
      <c r="CM35" s="92">
        <f t="shared" si="91"/>
        <v>13.4</v>
      </c>
      <c r="CN35" s="92">
        <f t="shared" si="92"/>
        <v>2.68</v>
      </c>
      <c r="CO35" s="92">
        <f t="shared" si="93"/>
        <v>22.366315789473685</v>
      </c>
      <c r="CP35" s="92">
        <v>8</v>
      </c>
      <c r="CQ35" s="92">
        <v>6</v>
      </c>
      <c r="CR35" s="92">
        <v>1</v>
      </c>
      <c r="CS35" s="92">
        <f t="shared" si="94"/>
        <v>6.94316433255218</v>
      </c>
      <c r="CT35" s="92">
        <f t="shared" si="95"/>
        <v>1697.4869907441614</v>
      </c>
      <c r="CU35" s="42"/>
      <c r="CV35" s="92">
        <v>384</v>
      </c>
      <c r="CW35" s="92">
        <f t="shared" si="96"/>
        <v>13.4</v>
      </c>
      <c r="CX35" s="92">
        <f t="shared" si="97"/>
        <v>3.2984615384615386</v>
      </c>
      <c r="CY35" s="92">
        <f t="shared" si="98"/>
        <v>22.366315789473685</v>
      </c>
      <c r="CZ35" s="92">
        <v>8</v>
      </c>
      <c r="DA35" s="92">
        <v>6</v>
      </c>
      <c r="DB35" s="92">
        <v>1</v>
      </c>
      <c r="DC35" s="92">
        <f t="shared" si="99"/>
        <v>8.127587299503022</v>
      </c>
      <c r="DD35" s="92">
        <f t="shared" si="67"/>
        <v>1789.8000193119444</v>
      </c>
      <c r="DE35" s="42"/>
      <c r="DF35" s="92">
        <v>234</v>
      </c>
      <c r="DG35" s="92">
        <f t="shared" si="100"/>
        <v>15.314285714285715</v>
      </c>
      <c r="DH35" s="92">
        <f t="shared" si="101"/>
        <v>3.5733333333333333</v>
      </c>
      <c r="DI35" s="92">
        <f t="shared" si="102"/>
        <v>22.366315789473685</v>
      </c>
      <c r="DJ35" s="92">
        <v>8</v>
      </c>
      <c r="DK35" s="92">
        <v>6</v>
      </c>
      <c r="DL35" s="92">
        <v>1</v>
      </c>
      <c r="DM35" s="92">
        <f t="shared" si="103"/>
        <v>8.903916215565417</v>
      </c>
      <c r="DN35" s="92">
        <f t="shared" si="104"/>
        <v>1948.2764034845031</v>
      </c>
      <c r="DO35" s="42"/>
      <c r="DP35" s="92">
        <v>477</v>
      </c>
      <c r="DQ35" s="92">
        <f t="shared" si="105"/>
        <v>17.866666666666667</v>
      </c>
      <c r="DR35" s="92">
        <f t="shared" si="106"/>
        <v>3.5733333333333333</v>
      </c>
      <c r="DS35" s="92">
        <f t="shared" si="107"/>
        <v>22.366315789473685</v>
      </c>
      <c r="DT35" s="92">
        <v>8</v>
      </c>
      <c r="DU35" s="92">
        <v>6</v>
      </c>
      <c r="DV35" s="92">
        <v>1</v>
      </c>
      <c r="DW35" s="92">
        <f t="shared" si="108"/>
        <v>9.209902021355399</v>
      </c>
      <c r="DX35" s="92">
        <f t="shared" si="109"/>
        <v>2049.8897662021673</v>
      </c>
      <c r="DY35" s="42"/>
      <c r="DZ35" s="92">
        <v>9999</v>
      </c>
      <c r="EA35" s="73">
        <f t="shared" si="110"/>
        <v>17.866666666666667</v>
      </c>
      <c r="EB35" s="73">
        <f t="shared" si="111"/>
        <v>3.5733333333333333</v>
      </c>
      <c r="EC35" s="73">
        <f t="shared" si="112"/>
        <v>22.366315789473685</v>
      </c>
      <c r="ED35" s="92">
        <v>8</v>
      </c>
      <c r="EE35" s="92">
        <v>6</v>
      </c>
      <c r="EF35" s="92">
        <v>1</v>
      </c>
      <c r="EG35" s="92">
        <f t="shared" si="113"/>
        <v>9.209902021355399</v>
      </c>
      <c r="EH35" s="92">
        <f t="shared" si="114"/>
        <v>2049.8897662021673</v>
      </c>
      <c r="EI35" s="42"/>
      <c r="EJ35" s="92">
        <v>548</v>
      </c>
      <c r="EK35" s="92">
        <f t="shared" si="115"/>
        <v>26.8</v>
      </c>
      <c r="EL35" s="92">
        <f t="shared" si="116"/>
        <v>3.898181818181818</v>
      </c>
      <c r="EM35" s="92">
        <f t="shared" si="117"/>
        <v>22.366315789473685</v>
      </c>
      <c r="EN35" s="92">
        <v>8</v>
      </c>
      <c r="EO35" s="92">
        <v>6</v>
      </c>
      <c r="EP35" s="92">
        <v>1</v>
      </c>
      <c r="EQ35" s="92">
        <f t="shared" si="118"/>
        <v>10.624753247431721</v>
      </c>
      <c r="ER35" s="92">
        <f t="shared" si="119"/>
        <v>2341.2612700390955</v>
      </c>
      <c r="ES35" s="42"/>
      <c r="ET35" s="73">
        <v>50</v>
      </c>
      <c r="EU35" s="73">
        <v>0</v>
      </c>
      <c r="EV35" s="73">
        <v>0</v>
      </c>
      <c r="EW35" s="73">
        <v>0</v>
      </c>
      <c r="EX35" s="73">
        <v>50</v>
      </c>
      <c r="EY35" s="73">
        <v>0</v>
      </c>
      <c r="EZ35" s="73">
        <v>0</v>
      </c>
      <c r="FA35" s="73">
        <v>0</v>
      </c>
      <c r="FB35" s="73">
        <v>0</v>
      </c>
      <c r="FC35" s="92">
        <f t="shared" si="120"/>
        <v>1794.742544703791</v>
      </c>
    </row>
    <row r="36" spans="1:159" s="4" customFormat="1" ht="17.25">
      <c r="A36" s="71">
        <v>32</v>
      </c>
      <c r="B36" s="94" t="s">
        <v>437</v>
      </c>
      <c r="C36" s="75">
        <v>1</v>
      </c>
      <c r="D36" s="94">
        <v>2</v>
      </c>
      <c r="E36" s="75">
        <v>745</v>
      </c>
      <c r="F36" s="75">
        <v>2000</v>
      </c>
      <c r="G36" s="94">
        <f t="shared" si="72"/>
        <v>745</v>
      </c>
      <c r="H36" s="94">
        <v>512</v>
      </c>
      <c r="I36" s="72">
        <f t="shared" si="70"/>
        <v>16</v>
      </c>
      <c r="J36" s="94">
        <v>16</v>
      </c>
      <c r="K36" s="94">
        <v>16</v>
      </c>
      <c r="L36" s="100" t="s">
        <v>30</v>
      </c>
      <c r="M36" s="94">
        <v>320</v>
      </c>
      <c r="N36" s="100" t="s">
        <v>30</v>
      </c>
      <c r="O36" s="94" t="s">
        <v>21</v>
      </c>
      <c r="P36" s="77">
        <f t="shared" si="58"/>
        <v>227.74916141043698</v>
      </c>
      <c r="Q36" s="78">
        <f t="shared" si="73"/>
        <v>2008.391363157869</v>
      </c>
      <c r="R36" s="78"/>
      <c r="S36" s="89">
        <v>1024</v>
      </c>
      <c r="T36" s="90">
        <v>70</v>
      </c>
      <c r="U36" s="90">
        <v>230</v>
      </c>
      <c r="V36" s="94" t="s">
        <v>55</v>
      </c>
      <c r="W36" s="94" t="s">
        <v>29</v>
      </c>
      <c r="X36" s="14" t="s">
        <v>428</v>
      </c>
      <c r="Y36" s="94" t="s">
        <v>40</v>
      </c>
      <c r="Z36" s="101">
        <v>12.3</v>
      </c>
      <c r="AA36" s="124" t="s">
        <v>559</v>
      </c>
      <c r="AB36" s="94">
        <v>10</v>
      </c>
      <c r="AC36" s="96">
        <v>4</v>
      </c>
      <c r="AD36" s="97">
        <v>428</v>
      </c>
      <c r="AE36" s="98">
        <f>700*C36</f>
        <v>700</v>
      </c>
      <c r="AF36" s="99">
        <v>80</v>
      </c>
      <c r="AG36" s="94"/>
      <c r="AH36" s="91"/>
      <c r="AI36" s="87">
        <f t="shared" si="61"/>
        <v>23.84</v>
      </c>
      <c r="AJ36" s="91">
        <f t="shared" si="62"/>
        <v>23.84</v>
      </c>
      <c r="AK36" s="91">
        <f t="shared" si="63"/>
        <v>11.92</v>
      </c>
      <c r="AL36" s="87">
        <f t="shared" si="64"/>
        <v>39.733333333333334</v>
      </c>
      <c r="AM36" s="92">
        <f>H36*F36/(10500+275*AC36)</f>
        <v>88.27586206896552</v>
      </c>
      <c r="AN36" s="73">
        <f t="shared" si="74"/>
        <v>1</v>
      </c>
      <c r="AO36" s="87">
        <v>2</v>
      </c>
      <c r="AP36" s="87">
        <v>1</v>
      </c>
      <c r="AQ36" s="87">
        <v>1</v>
      </c>
      <c r="AR36" s="87">
        <v>5</v>
      </c>
      <c r="AS36" s="87">
        <v>5</v>
      </c>
      <c r="AT36" s="87">
        <v>1</v>
      </c>
      <c r="AU36" s="87">
        <v>1</v>
      </c>
      <c r="AV36" s="87">
        <v>2.8</v>
      </c>
      <c r="AW36" s="87">
        <f t="shared" si="75"/>
        <v>23.84</v>
      </c>
      <c r="AX36" s="87">
        <f t="shared" si="76"/>
        <v>20.434285714285714</v>
      </c>
      <c r="AY36" s="91">
        <f t="shared" si="69"/>
        <v>34.32959999999999</v>
      </c>
      <c r="AZ36" s="91">
        <f t="shared" si="77"/>
        <v>40.90842895176691</v>
      </c>
      <c r="BA36" s="91"/>
      <c r="BB36" s="73">
        <v>0.02</v>
      </c>
      <c r="BC36" s="73">
        <f t="shared" si="60"/>
        <v>40.09026037273157</v>
      </c>
      <c r="BD36" s="73">
        <v>4.840412061378459</v>
      </c>
      <c r="BE36" s="87">
        <v>5.680910008889502</v>
      </c>
      <c r="BF36" s="42"/>
      <c r="BG36" s="42"/>
      <c r="BH36" s="92">
        <v>511</v>
      </c>
      <c r="BI36" s="92">
        <f t="shared" si="78"/>
        <v>7.946666666666666</v>
      </c>
      <c r="BJ36" s="87">
        <f t="shared" si="79"/>
        <v>5.96</v>
      </c>
      <c r="BK36" s="87">
        <f t="shared" si="80"/>
        <v>88.27586206896552</v>
      </c>
      <c r="BL36" s="87">
        <v>8</v>
      </c>
      <c r="BM36" s="87">
        <v>6</v>
      </c>
      <c r="BN36" s="87">
        <v>1</v>
      </c>
      <c r="BO36" s="93">
        <f t="shared" si="81"/>
        <v>9.877758082455351</v>
      </c>
      <c r="BP36" s="73">
        <f t="shared" si="66"/>
        <v>2026.0646645296918</v>
      </c>
      <c r="BQ36" s="42"/>
      <c r="BR36" s="92">
        <v>111</v>
      </c>
      <c r="BS36" s="92">
        <f t="shared" si="82"/>
        <v>7.45</v>
      </c>
      <c r="BT36" s="87">
        <f t="shared" si="83"/>
        <v>5.96</v>
      </c>
      <c r="BU36" s="92">
        <f t="shared" si="84"/>
        <v>88.27586206896552</v>
      </c>
      <c r="BV36" s="87">
        <v>8</v>
      </c>
      <c r="BW36" s="87">
        <v>6</v>
      </c>
      <c r="BX36" s="87">
        <v>1</v>
      </c>
      <c r="BY36" s="93">
        <f t="shared" si="85"/>
        <v>9.560846249190082</v>
      </c>
      <c r="BZ36" s="92">
        <f t="shared" si="86"/>
        <v>2530.598723702262</v>
      </c>
      <c r="CA36" s="42"/>
      <c r="CB36" s="92">
        <v>122</v>
      </c>
      <c r="CC36" s="92">
        <f t="shared" si="87"/>
        <v>19.866666666666667</v>
      </c>
      <c r="CD36" s="87">
        <f t="shared" si="88"/>
        <v>2.648888888888889</v>
      </c>
      <c r="CE36" s="92">
        <f t="shared" si="71"/>
        <v>88.27586206896552</v>
      </c>
      <c r="CF36" s="87">
        <v>8</v>
      </c>
      <c r="CG36" s="87">
        <v>6</v>
      </c>
      <c r="CH36" s="87">
        <v>1</v>
      </c>
      <c r="CI36" s="93">
        <f t="shared" si="89"/>
        <v>7.465156308560056</v>
      </c>
      <c r="CJ36" s="92">
        <f t="shared" si="90"/>
        <v>2010.424999487063</v>
      </c>
      <c r="CK36" s="42"/>
      <c r="CL36" s="92">
        <v>388</v>
      </c>
      <c r="CM36" s="92">
        <f t="shared" si="91"/>
        <v>14.9</v>
      </c>
      <c r="CN36" s="92">
        <f t="shared" si="92"/>
        <v>2.98</v>
      </c>
      <c r="CO36" s="92">
        <f t="shared" si="93"/>
        <v>88.27586206896552</v>
      </c>
      <c r="CP36" s="92">
        <v>8</v>
      </c>
      <c r="CQ36" s="92">
        <v>6</v>
      </c>
      <c r="CR36" s="92">
        <v>1</v>
      </c>
      <c r="CS36" s="92">
        <f t="shared" si="94"/>
        <v>7.807426101782686</v>
      </c>
      <c r="CT36" s="92">
        <f t="shared" si="95"/>
        <v>1893.1732607853126</v>
      </c>
      <c r="CU36" s="42"/>
      <c r="CV36" s="92">
        <v>384</v>
      </c>
      <c r="CW36" s="92">
        <f t="shared" si="96"/>
        <v>14.9</v>
      </c>
      <c r="CX36" s="92">
        <f t="shared" si="97"/>
        <v>3.667692307692308</v>
      </c>
      <c r="CY36" s="92">
        <f t="shared" si="98"/>
        <v>88.27586206896552</v>
      </c>
      <c r="CZ36" s="92">
        <v>8</v>
      </c>
      <c r="DA36" s="92">
        <v>6</v>
      </c>
      <c r="DB36" s="92">
        <v>1</v>
      </c>
      <c r="DC36" s="92">
        <f t="shared" si="99"/>
        <v>9.156893176381342</v>
      </c>
      <c r="DD36" s="92">
        <f t="shared" si="67"/>
        <v>1999.7051167556365</v>
      </c>
      <c r="DE36" s="42"/>
      <c r="DF36" s="92">
        <v>234</v>
      </c>
      <c r="DG36" s="92">
        <f t="shared" si="100"/>
        <v>17.02857142857143</v>
      </c>
      <c r="DH36" s="92">
        <f t="shared" si="101"/>
        <v>3.973333333333333</v>
      </c>
      <c r="DI36" s="92">
        <f t="shared" si="102"/>
        <v>88.27586206896552</v>
      </c>
      <c r="DJ36" s="92">
        <v>8</v>
      </c>
      <c r="DK36" s="92">
        <v>6</v>
      </c>
      <c r="DL36" s="92">
        <v>1</v>
      </c>
      <c r="DM36" s="92">
        <f t="shared" si="103"/>
        <v>10.04422524196171</v>
      </c>
      <c r="DN36" s="92">
        <f t="shared" si="104"/>
        <v>2179.32736730839</v>
      </c>
      <c r="DO36" s="42"/>
      <c r="DP36" s="92">
        <v>477</v>
      </c>
      <c r="DQ36" s="92">
        <f t="shared" si="105"/>
        <v>19.866666666666667</v>
      </c>
      <c r="DR36" s="92">
        <f t="shared" si="106"/>
        <v>3.973333333333333</v>
      </c>
      <c r="DS36" s="92">
        <f t="shared" si="107"/>
        <v>88.27586206896552</v>
      </c>
      <c r="DT36" s="92">
        <v>8</v>
      </c>
      <c r="DU36" s="92">
        <v>6</v>
      </c>
      <c r="DV36" s="92">
        <v>1</v>
      </c>
      <c r="DW36" s="92">
        <f t="shared" si="108"/>
        <v>10.394579253080373</v>
      </c>
      <c r="DX36" s="92">
        <f t="shared" si="109"/>
        <v>2294.0547510951033</v>
      </c>
      <c r="DY36" s="42"/>
      <c r="DZ36" s="92">
        <v>9999</v>
      </c>
      <c r="EA36" s="73">
        <f t="shared" si="110"/>
        <v>19.866666666666667</v>
      </c>
      <c r="EB36" s="73">
        <f t="shared" si="111"/>
        <v>3.973333333333333</v>
      </c>
      <c r="EC36" s="73">
        <f t="shared" si="112"/>
        <v>88.27586206896552</v>
      </c>
      <c r="ED36" s="92">
        <v>8</v>
      </c>
      <c r="EE36" s="92">
        <v>6</v>
      </c>
      <c r="EF36" s="92">
        <v>1</v>
      </c>
      <c r="EG36" s="92">
        <f t="shared" si="113"/>
        <v>10.394579253080373</v>
      </c>
      <c r="EH36" s="92">
        <f t="shared" si="114"/>
        <v>2294.0547510951033</v>
      </c>
      <c r="EI36" s="42"/>
      <c r="EJ36" s="92">
        <v>548</v>
      </c>
      <c r="EK36" s="92">
        <f t="shared" si="115"/>
        <v>29.8</v>
      </c>
      <c r="EL36" s="92">
        <f t="shared" si="116"/>
        <v>4.334545454545455</v>
      </c>
      <c r="EM36" s="92">
        <f t="shared" si="117"/>
        <v>88.27586206896552</v>
      </c>
      <c r="EN36" s="92">
        <v>8</v>
      </c>
      <c r="EO36" s="92">
        <v>6</v>
      </c>
      <c r="EP36" s="92">
        <v>1</v>
      </c>
      <c r="EQ36" s="92">
        <f t="shared" si="118"/>
        <v>12.01913911781712</v>
      </c>
      <c r="ER36" s="92">
        <f t="shared" si="119"/>
        <v>2625.7633042887</v>
      </c>
      <c r="ES36" s="42"/>
      <c r="ET36" s="73">
        <v>50</v>
      </c>
      <c r="EU36" s="73">
        <v>0</v>
      </c>
      <c r="EV36" s="73">
        <v>0</v>
      </c>
      <c r="EW36" s="73">
        <v>0</v>
      </c>
      <c r="EX36" s="73">
        <v>50</v>
      </c>
      <c r="EY36" s="73">
        <v>0</v>
      </c>
      <c r="EZ36" s="73">
        <v>0</v>
      </c>
      <c r="FA36" s="73">
        <v>0</v>
      </c>
      <c r="FB36" s="73">
        <v>0</v>
      </c>
      <c r="FC36" s="92">
        <f t="shared" si="120"/>
        <v>2008.391363157869</v>
      </c>
    </row>
    <row r="37" spans="1:159" s="4" customFormat="1" ht="17.25">
      <c r="A37" s="71">
        <v>33</v>
      </c>
      <c r="B37" s="94" t="s">
        <v>438</v>
      </c>
      <c r="C37" s="75">
        <v>1</v>
      </c>
      <c r="D37" s="94">
        <v>2</v>
      </c>
      <c r="E37" s="75">
        <v>742</v>
      </c>
      <c r="F37" s="75">
        <v>1650</v>
      </c>
      <c r="G37" s="94">
        <f t="shared" si="72"/>
        <v>742</v>
      </c>
      <c r="H37" s="94">
        <v>512</v>
      </c>
      <c r="I37" s="72">
        <f t="shared" si="70"/>
        <v>16</v>
      </c>
      <c r="J37" s="94">
        <v>16</v>
      </c>
      <c r="K37" s="94">
        <v>16</v>
      </c>
      <c r="L37" s="100" t="s">
        <v>30</v>
      </c>
      <c r="M37" s="94">
        <v>320</v>
      </c>
      <c r="N37" s="100" t="s">
        <v>30</v>
      </c>
      <c r="O37" s="94" t="s">
        <v>21</v>
      </c>
      <c r="P37" s="77">
        <f aca="true" t="shared" si="121" ref="P37:P72">BC37*BE37</f>
        <v>221.9963020781163</v>
      </c>
      <c r="Q37" s="78">
        <f t="shared" si="73"/>
        <v>1998.9846954365057</v>
      </c>
      <c r="R37" s="78"/>
      <c r="S37" s="89">
        <v>512</v>
      </c>
      <c r="T37" s="90">
        <v>70</v>
      </c>
      <c r="U37" s="90">
        <v>230</v>
      </c>
      <c r="V37" s="94" t="s">
        <v>55</v>
      </c>
      <c r="W37" s="94" t="s">
        <v>29</v>
      </c>
      <c r="X37" s="14" t="s">
        <v>39</v>
      </c>
      <c r="Y37" s="94" t="s">
        <v>40</v>
      </c>
      <c r="Z37" s="95">
        <v>9.5</v>
      </c>
      <c r="AA37" s="124" t="s">
        <v>559</v>
      </c>
      <c r="AB37" s="94">
        <v>10</v>
      </c>
      <c r="AC37" s="96">
        <v>3</v>
      </c>
      <c r="AD37" s="97">
        <v>428</v>
      </c>
      <c r="AE37" s="98">
        <f>700*C37</f>
        <v>700</v>
      </c>
      <c r="AF37" s="99">
        <v>80</v>
      </c>
      <c r="AG37" s="94"/>
      <c r="AH37" s="91"/>
      <c r="AI37" s="87">
        <f t="shared" si="61"/>
        <v>23.744</v>
      </c>
      <c r="AJ37" s="91">
        <f t="shared" si="62"/>
        <v>23.744</v>
      </c>
      <c r="AK37" s="91">
        <f t="shared" si="63"/>
        <v>11.872</v>
      </c>
      <c r="AL37" s="87">
        <f t="shared" si="64"/>
        <v>39.57333333333333</v>
      </c>
      <c r="AM37" s="92">
        <f>H37*F37/(10500+275*AC37)</f>
        <v>74.59602649006622</v>
      </c>
      <c r="AN37" s="73">
        <f t="shared" si="74"/>
        <v>1</v>
      </c>
      <c r="AO37" s="87">
        <v>2</v>
      </c>
      <c r="AP37" s="87">
        <v>1</v>
      </c>
      <c r="AQ37" s="87">
        <v>1</v>
      </c>
      <c r="AR37" s="87">
        <v>5</v>
      </c>
      <c r="AS37" s="87">
        <v>5</v>
      </c>
      <c r="AT37" s="87">
        <v>1</v>
      </c>
      <c r="AU37" s="87">
        <v>1</v>
      </c>
      <c r="AV37" s="87">
        <v>2.8</v>
      </c>
      <c r="AW37" s="87">
        <f t="shared" si="75"/>
        <v>23.743999999999996</v>
      </c>
      <c r="AX37" s="87">
        <f t="shared" si="76"/>
        <v>20.351999999999997</v>
      </c>
      <c r="AY37" s="91">
        <f t="shared" si="69"/>
        <v>34.191359999999996</v>
      </c>
      <c r="AZ37" s="91">
        <f t="shared" si="77"/>
        <v>39.87509721167048</v>
      </c>
      <c r="BA37" s="91"/>
      <c r="BB37" s="73">
        <v>0.02</v>
      </c>
      <c r="BC37" s="73">
        <f aca="true" t="shared" si="122" ref="BC37:BC68">AZ37*(1-BB37)+BA37*BB37</f>
        <v>39.07759526743707</v>
      </c>
      <c r="BD37" s="73">
        <v>4.840412061378459</v>
      </c>
      <c r="BE37" s="87">
        <v>5.680910008889502</v>
      </c>
      <c r="BF37" s="42"/>
      <c r="BG37" s="42"/>
      <c r="BH37" s="92">
        <v>511</v>
      </c>
      <c r="BI37" s="92">
        <f t="shared" si="78"/>
        <v>7.914666666666666</v>
      </c>
      <c r="BJ37" s="87">
        <f t="shared" si="79"/>
        <v>5.936</v>
      </c>
      <c r="BK37" s="87">
        <f t="shared" si="80"/>
        <v>74.59602649006622</v>
      </c>
      <c r="BL37" s="87">
        <v>8</v>
      </c>
      <c r="BM37" s="87">
        <v>6</v>
      </c>
      <c r="BN37" s="87">
        <v>1</v>
      </c>
      <c r="BO37" s="93">
        <f t="shared" si="81"/>
        <v>9.828160113903765</v>
      </c>
      <c r="BP37" s="73">
        <f t="shared" si="66"/>
        <v>2016.3988819878389</v>
      </c>
      <c r="BQ37" s="42"/>
      <c r="BR37" s="92">
        <v>111</v>
      </c>
      <c r="BS37" s="92">
        <f t="shared" si="82"/>
        <v>7.42</v>
      </c>
      <c r="BT37" s="87">
        <f t="shared" si="83"/>
        <v>5.936</v>
      </c>
      <c r="BU37" s="92">
        <f t="shared" si="84"/>
        <v>74.59602649006622</v>
      </c>
      <c r="BV37" s="87">
        <v>8</v>
      </c>
      <c r="BW37" s="87">
        <v>6</v>
      </c>
      <c r="BX37" s="87">
        <v>1</v>
      </c>
      <c r="BY37" s="93">
        <f t="shared" si="85"/>
        <v>9.513144261515494</v>
      </c>
      <c r="BZ37" s="92">
        <f t="shared" si="86"/>
        <v>2518.8545533413553</v>
      </c>
      <c r="CA37" s="42"/>
      <c r="CB37" s="92">
        <v>122</v>
      </c>
      <c r="CC37" s="92">
        <f t="shared" si="87"/>
        <v>19.786666666666665</v>
      </c>
      <c r="CD37" s="87">
        <f t="shared" si="88"/>
        <v>2.6382222222222222</v>
      </c>
      <c r="CE37" s="92">
        <f t="shared" si="71"/>
        <v>74.59602649006622</v>
      </c>
      <c r="CF37" s="87">
        <v>8</v>
      </c>
      <c r="CG37" s="87">
        <v>6</v>
      </c>
      <c r="CH37" s="87">
        <v>1</v>
      </c>
      <c r="CI37" s="93">
        <f t="shared" si="89"/>
        <v>7.429484068841075</v>
      </c>
      <c r="CJ37" s="92">
        <f t="shared" si="90"/>
        <v>2001.4891663690005</v>
      </c>
      <c r="CK37" s="42"/>
      <c r="CL37" s="92">
        <v>388</v>
      </c>
      <c r="CM37" s="92">
        <f t="shared" si="91"/>
        <v>14.84</v>
      </c>
      <c r="CN37" s="92">
        <f t="shared" si="92"/>
        <v>2.968</v>
      </c>
      <c r="CO37" s="92">
        <f t="shared" si="93"/>
        <v>74.59602649006622</v>
      </c>
      <c r="CP37" s="92">
        <v>8</v>
      </c>
      <c r="CQ37" s="92">
        <v>6</v>
      </c>
      <c r="CR37" s="92">
        <v>1</v>
      </c>
      <c r="CS37" s="92">
        <f t="shared" si="94"/>
        <v>7.769849475044719</v>
      </c>
      <c r="CT37" s="92">
        <f t="shared" si="95"/>
        <v>1884.6979331348905</v>
      </c>
      <c r="CU37" s="42"/>
      <c r="CV37" s="92">
        <v>384</v>
      </c>
      <c r="CW37" s="92">
        <f t="shared" si="96"/>
        <v>14.84</v>
      </c>
      <c r="CX37" s="92">
        <f t="shared" si="97"/>
        <v>3.6529230769230767</v>
      </c>
      <c r="CY37" s="92">
        <f t="shared" si="98"/>
        <v>74.59602649006622</v>
      </c>
      <c r="CZ37" s="92">
        <v>8</v>
      </c>
      <c r="DA37" s="92">
        <v>6</v>
      </c>
      <c r="DB37" s="92">
        <v>1</v>
      </c>
      <c r="DC37" s="92">
        <f t="shared" si="99"/>
        <v>9.111578651758276</v>
      </c>
      <c r="DD37" s="92">
        <f t="shared" si="67"/>
        <v>1990.5003341711347</v>
      </c>
      <c r="DE37" s="42"/>
      <c r="DF37" s="92">
        <v>234</v>
      </c>
      <c r="DG37" s="92">
        <f t="shared" si="100"/>
        <v>16.96</v>
      </c>
      <c r="DH37" s="92">
        <f t="shared" si="101"/>
        <v>3.957333333333333</v>
      </c>
      <c r="DI37" s="92">
        <f t="shared" si="102"/>
        <v>74.59602649006622</v>
      </c>
      <c r="DJ37" s="92">
        <v>8</v>
      </c>
      <c r="DK37" s="92">
        <v>6</v>
      </c>
      <c r="DL37" s="92">
        <v>1</v>
      </c>
      <c r="DM37" s="92">
        <f t="shared" si="103"/>
        <v>9.993623270268715</v>
      </c>
      <c r="DN37" s="92">
        <f t="shared" si="104"/>
        <v>2169.1148424567723</v>
      </c>
      <c r="DO37" s="42"/>
      <c r="DP37" s="92">
        <v>477</v>
      </c>
      <c r="DQ37" s="92">
        <f t="shared" si="105"/>
        <v>19.786666666666665</v>
      </c>
      <c r="DR37" s="92">
        <f t="shared" si="106"/>
        <v>3.957333333333333</v>
      </c>
      <c r="DS37" s="92">
        <f t="shared" si="107"/>
        <v>74.59602649006622</v>
      </c>
      <c r="DT37" s="92">
        <v>8</v>
      </c>
      <c r="DU37" s="92">
        <v>6</v>
      </c>
      <c r="DV37" s="92">
        <v>1</v>
      </c>
      <c r="DW37" s="92">
        <f t="shared" si="108"/>
        <v>10.34184602321737</v>
      </c>
      <c r="DX37" s="92">
        <f t="shared" si="109"/>
        <v>2283.229413943424</v>
      </c>
      <c r="DY37" s="42"/>
      <c r="DZ37" s="92">
        <v>9999</v>
      </c>
      <c r="EA37" s="73">
        <f t="shared" si="110"/>
        <v>19.786666666666665</v>
      </c>
      <c r="EB37" s="73">
        <f t="shared" si="111"/>
        <v>3.957333333333333</v>
      </c>
      <c r="EC37" s="73">
        <f t="shared" si="112"/>
        <v>74.59602649006622</v>
      </c>
      <c r="ED37" s="92">
        <v>8</v>
      </c>
      <c r="EE37" s="92">
        <v>6</v>
      </c>
      <c r="EF37" s="92">
        <v>1</v>
      </c>
      <c r="EG37" s="92">
        <f t="shared" si="113"/>
        <v>10.34184602321737</v>
      </c>
      <c r="EH37" s="92">
        <f t="shared" si="114"/>
        <v>2283.229413943424</v>
      </c>
      <c r="EI37" s="42"/>
      <c r="EJ37" s="92">
        <v>548</v>
      </c>
      <c r="EK37" s="92">
        <f t="shared" si="115"/>
        <v>29.68</v>
      </c>
      <c r="EL37" s="92">
        <f t="shared" si="116"/>
        <v>4.3170909090909095</v>
      </c>
      <c r="EM37" s="92">
        <f t="shared" si="117"/>
        <v>74.59602649006622</v>
      </c>
      <c r="EN37" s="92">
        <v>8</v>
      </c>
      <c r="EO37" s="92">
        <v>6</v>
      </c>
      <c r="EP37" s="92">
        <v>1</v>
      </c>
      <c r="EQ37" s="92">
        <f t="shared" si="118"/>
        <v>11.956201207337871</v>
      </c>
      <c r="ER37" s="92">
        <f t="shared" si="119"/>
        <v>2612.9736967099757</v>
      </c>
      <c r="ES37" s="42"/>
      <c r="ET37" s="73">
        <v>50</v>
      </c>
      <c r="EU37" s="73">
        <v>0</v>
      </c>
      <c r="EV37" s="73">
        <v>0</v>
      </c>
      <c r="EW37" s="73">
        <v>0</v>
      </c>
      <c r="EX37" s="73">
        <v>50</v>
      </c>
      <c r="EY37" s="73">
        <v>0</v>
      </c>
      <c r="EZ37" s="73">
        <v>0</v>
      </c>
      <c r="FA37" s="73">
        <v>0</v>
      </c>
      <c r="FB37" s="73">
        <v>0</v>
      </c>
      <c r="FC37" s="92">
        <f t="shared" si="120"/>
        <v>1998.9846954365057</v>
      </c>
    </row>
    <row r="38" spans="1:159" s="4" customFormat="1" ht="17.25">
      <c r="A38" s="71">
        <v>34</v>
      </c>
      <c r="B38" s="94" t="s">
        <v>439</v>
      </c>
      <c r="C38" s="75">
        <v>1</v>
      </c>
      <c r="D38" s="94">
        <v>2</v>
      </c>
      <c r="E38" s="75">
        <v>600</v>
      </c>
      <c r="F38" s="75">
        <v>1600</v>
      </c>
      <c r="G38" s="94">
        <f t="shared" si="72"/>
        <v>600</v>
      </c>
      <c r="H38" s="94">
        <v>512</v>
      </c>
      <c r="I38" s="72">
        <f t="shared" si="70"/>
        <v>16</v>
      </c>
      <c r="J38" s="94">
        <v>16</v>
      </c>
      <c r="K38" s="94">
        <v>16</v>
      </c>
      <c r="L38" s="100" t="s">
        <v>30</v>
      </c>
      <c r="M38" s="94">
        <v>320</v>
      </c>
      <c r="N38" s="100" t="s">
        <v>30</v>
      </c>
      <c r="O38" s="94" t="s">
        <v>21</v>
      </c>
      <c r="P38" s="77">
        <f t="shared" si="121"/>
        <v>183.80667228599336</v>
      </c>
      <c r="Q38" s="78">
        <f t="shared" si="73"/>
        <v>1639.240917554849</v>
      </c>
      <c r="R38" s="78"/>
      <c r="S38" s="89">
        <v>512</v>
      </c>
      <c r="T38" s="90">
        <v>70</v>
      </c>
      <c r="U38" s="90">
        <v>160</v>
      </c>
      <c r="V38" s="94" t="s">
        <v>55</v>
      </c>
      <c r="W38" s="94" t="s">
        <v>29</v>
      </c>
      <c r="X38" s="14" t="s">
        <v>39</v>
      </c>
      <c r="Y38" s="94" t="s">
        <v>40</v>
      </c>
      <c r="Z38" s="95">
        <v>9.5</v>
      </c>
      <c r="AA38" s="124" t="s">
        <v>559</v>
      </c>
      <c r="AB38" s="94">
        <v>10</v>
      </c>
      <c r="AC38" s="96">
        <v>3</v>
      </c>
      <c r="AD38" s="97">
        <v>428</v>
      </c>
      <c r="AE38" s="98">
        <f>700*C38</f>
        <v>700</v>
      </c>
      <c r="AF38" s="99">
        <v>80</v>
      </c>
      <c r="AG38" s="94"/>
      <c r="AH38" s="91"/>
      <c r="AI38" s="87">
        <f t="shared" si="61"/>
        <v>19.2</v>
      </c>
      <c r="AJ38" s="91">
        <f t="shared" si="62"/>
        <v>19.2</v>
      </c>
      <c r="AK38" s="91">
        <f t="shared" si="63"/>
        <v>9.6</v>
      </c>
      <c r="AL38" s="87">
        <f t="shared" si="64"/>
        <v>32</v>
      </c>
      <c r="AM38" s="92">
        <f>H38*F38/(10500+275*AC38)</f>
        <v>72.3355408388521</v>
      </c>
      <c r="AN38" s="73">
        <f t="shared" si="74"/>
        <v>1</v>
      </c>
      <c r="AO38" s="87">
        <v>2</v>
      </c>
      <c r="AP38" s="87">
        <v>1</v>
      </c>
      <c r="AQ38" s="87">
        <v>1</v>
      </c>
      <c r="AR38" s="87">
        <v>5</v>
      </c>
      <c r="AS38" s="87">
        <v>5</v>
      </c>
      <c r="AT38" s="87">
        <v>1</v>
      </c>
      <c r="AU38" s="87">
        <v>1</v>
      </c>
      <c r="AV38" s="87">
        <v>2.8</v>
      </c>
      <c r="AW38" s="87">
        <f t="shared" si="75"/>
        <v>19.200000000000003</v>
      </c>
      <c r="AX38" s="87">
        <f t="shared" si="76"/>
        <v>16.45714285714286</v>
      </c>
      <c r="AY38" s="91">
        <f t="shared" si="69"/>
        <v>27.648000000000003</v>
      </c>
      <c r="AZ38" s="91">
        <f t="shared" si="77"/>
        <v>33.015455018609266</v>
      </c>
      <c r="BA38" s="91"/>
      <c r="BB38" s="73">
        <v>0.02</v>
      </c>
      <c r="BC38" s="73">
        <f t="shared" si="122"/>
        <v>32.35514591823708</v>
      </c>
      <c r="BD38" s="73">
        <v>4.840412061378459</v>
      </c>
      <c r="BE38" s="87">
        <v>5.680910008889502</v>
      </c>
      <c r="BF38" s="42"/>
      <c r="BG38" s="42"/>
      <c r="BH38" s="92">
        <v>511</v>
      </c>
      <c r="BI38" s="92">
        <f t="shared" si="78"/>
        <v>6.4</v>
      </c>
      <c r="BJ38" s="87">
        <f t="shared" si="79"/>
        <v>4.8</v>
      </c>
      <c r="BK38" s="87">
        <f t="shared" si="80"/>
        <v>72.3355408388521</v>
      </c>
      <c r="BL38" s="87">
        <v>8</v>
      </c>
      <c r="BM38" s="87">
        <v>6</v>
      </c>
      <c r="BN38" s="87">
        <v>1</v>
      </c>
      <c r="BO38" s="93">
        <f t="shared" si="81"/>
        <v>7.956005001638887</v>
      </c>
      <c r="BP38" s="73">
        <f t="shared" si="66"/>
        <v>1649.6360207814585</v>
      </c>
      <c r="BQ38" s="42"/>
      <c r="BR38" s="92">
        <v>111</v>
      </c>
      <c r="BS38" s="92">
        <f t="shared" si="82"/>
        <v>6</v>
      </c>
      <c r="BT38" s="87">
        <f t="shared" si="83"/>
        <v>4.8</v>
      </c>
      <c r="BU38" s="92">
        <f t="shared" si="84"/>
        <v>72.3355408388521</v>
      </c>
      <c r="BV38" s="87">
        <v>8</v>
      </c>
      <c r="BW38" s="87">
        <v>6</v>
      </c>
      <c r="BX38" s="87">
        <v>1</v>
      </c>
      <c r="BY38" s="93">
        <f t="shared" si="85"/>
        <v>7.7007257814978605</v>
      </c>
      <c r="BZ38" s="92">
        <f t="shared" si="86"/>
        <v>2069.360411392045</v>
      </c>
      <c r="CA38" s="42"/>
      <c r="CB38" s="92">
        <v>122</v>
      </c>
      <c r="CC38" s="92">
        <f t="shared" si="87"/>
        <v>16</v>
      </c>
      <c r="CD38" s="87">
        <f t="shared" si="88"/>
        <v>2.1333333333333333</v>
      </c>
      <c r="CE38" s="92">
        <f t="shared" si="71"/>
        <v>72.3355408388521</v>
      </c>
      <c r="CF38" s="87">
        <v>8</v>
      </c>
      <c r="CG38" s="87">
        <v>6</v>
      </c>
      <c r="CH38" s="87">
        <v>1</v>
      </c>
      <c r="CI38" s="93">
        <f t="shared" si="89"/>
        <v>6.012642549794949</v>
      </c>
      <c r="CJ38" s="92">
        <f t="shared" si="90"/>
        <v>1643.9647560354272</v>
      </c>
      <c r="CK38" s="42"/>
      <c r="CL38" s="92">
        <v>388</v>
      </c>
      <c r="CM38" s="92">
        <f t="shared" si="91"/>
        <v>12</v>
      </c>
      <c r="CN38" s="92">
        <f t="shared" si="92"/>
        <v>2.4</v>
      </c>
      <c r="CO38" s="92">
        <f t="shared" si="93"/>
        <v>72.3355408388521</v>
      </c>
      <c r="CP38" s="92">
        <v>8</v>
      </c>
      <c r="CQ38" s="92">
        <v>6</v>
      </c>
      <c r="CR38" s="92">
        <v>1</v>
      </c>
      <c r="CS38" s="92">
        <f t="shared" si="94"/>
        <v>6.288336984855512</v>
      </c>
      <c r="CT38" s="92">
        <f t="shared" si="95"/>
        <v>1548.0904511516621</v>
      </c>
      <c r="CU38" s="42"/>
      <c r="CV38" s="92">
        <v>384</v>
      </c>
      <c r="CW38" s="92">
        <f t="shared" si="96"/>
        <v>12</v>
      </c>
      <c r="CX38" s="92">
        <f t="shared" si="97"/>
        <v>2.953846153846154</v>
      </c>
      <c r="CY38" s="92">
        <f t="shared" si="98"/>
        <v>72.3355408388521</v>
      </c>
      <c r="CZ38" s="92">
        <v>8</v>
      </c>
      <c r="DA38" s="92">
        <v>6</v>
      </c>
      <c r="DB38" s="92">
        <v>1</v>
      </c>
      <c r="DC38" s="92">
        <f t="shared" si="99"/>
        <v>7.375335271499578</v>
      </c>
      <c r="DD38" s="92">
        <f t="shared" si="67"/>
        <v>1635.223893001553</v>
      </c>
      <c r="DE38" s="42"/>
      <c r="DF38" s="92">
        <v>234</v>
      </c>
      <c r="DG38" s="92">
        <f t="shared" si="100"/>
        <v>13.714285714285714</v>
      </c>
      <c r="DH38" s="92">
        <f t="shared" si="101"/>
        <v>3.2</v>
      </c>
      <c r="DI38" s="92">
        <f t="shared" si="102"/>
        <v>72.3355408388521</v>
      </c>
      <c r="DJ38" s="92">
        <v>8</v>
      </c>
      <c r="DK38" s="92">
        <v>6</v>
      </c>
      <c r="DL38" s="92">
        <v>1</v>
      </c>
      <c r="DM38" s="92">
        <f t="shared" si="103"/>
        <v>8.090098468046234</v>
      </c>
      <c r="DN38" s="92">
        <f t="shared" si="104"/>
        <v>1782.12113827502</v>
      </c>
      <c r="DO38" s="42"/>
      <c r="DP38" s="92">
        <v>477</v>
      </c>
      <c r="DQ38" s="92">
        <f t="shared" si="105"/>
        <v>16</v>
      </c>
      <c r="DR38" s="92">
        <f t="shared" si="106"/>
        <v>3.2</v>
      </c>
      <c r="DS38" s="92">
        <f t="shared" si="107"/>
        <v>72.3355408388521</v>
      </c>
      <c r="DT38" s="92">
        <v>8</v>
      </c>
      <c r="DU38" s="92">
        <v>6</v>
      </c>
      <c r="DV38" s="92">
        <v>1</v>
      </c>
      <c r="DW38" s="92">
        <f t="shared" si="108"/>
        <v>8.372318816510598</v>
      </c>
      <c r="DX38" s="92">
        <f t="shared" si="109"/>
        <v>1875.944142241521</v>
      </c>
      <c r="DY38" s="42"/>
      <c r="DZ38" s="92">
        <v>9999</v>
      </c>
      <c r="EA38" s="73">
        <f t="shared" si="110"/>
        <v>16</v>
      </c>
      <c r="EB38" s="73">
        <f t="shared" si="111"/>
        <v>3.2</v>
      </c>
      <c r="EC38" s="73">
        <f t="shared" si="112"/>
        <v>72.3355408388521</v>
      </c>
      <c r="ED38" s="92">
        <v>8</v>
      </c>
      <c r="EE38" s="92">
        <v>6</v>
      </c>
      <c r="EF38" s="92">
        <v>1</v>
      </c>
      <c r="EG38" s="92">
        <f t="shared" si="113"/>
        <v>8.372318816510598</v>
      </c>
      <c r="EH38" s="92">
        <f t="shared" si="114"/>
        <v>1875.944142241521</v>
      </c>
      <c r="EI38" s="42"/>
      <c r="EJ38" s="92">
        <v>548</v>
      </c>
      <c r="EK38" s="92">
        <f t="shared" si="115"/>
        <v>24</v>
      </c>
      <c r="EL38" s="92">
        <f t="shared" si="116"/>
        <v>3.4909090909090907</v>
      </c>
      <c r="EM38" s="92">
        <f t="shared" si="117"/>
        <v>72.3355408388521</v>
      </c>
      <c r="EN38" s="92">
        <v>8</v>
      </c>
      <c r="EO38" s="92">
        <v>6</v>
      </c>
      <c r="EP38" s="92">
        <v>1</v>
      </c>
      <c r="EQ38" s="92">
        <f t="shared" si="118"/>
        <v>9.680974163782023</v>
      </c>
      <c r="ER38" s="92">
        <f t="shared" si="119"/>
        <v>2147.2275700293953</v>
      </c>
      <c r="ES38" s="42"/>
      <c r="ET38" s="73">
        <v>50</v>
      </c>
      <c r="EU38" s="73">
        <v>0</v>
      </c>
      <c r="EV38" s="73">
        <v>0</v>
      </c>
      <c r="EW38" s="73">
        <v>0</v>
      </c>
      <c r="EX38" s="73">
        <v>50</v>
      </c>
      <c r="EY38" s="73">
        <v>0</v>
      </c>
      <c r="EZ38" s="73">
        <v>0</v>
      </c>
      <c r="FA38" s="73">
        <v>0</v>
      </c>
      <c r="FB38" s="73">
        <v>0</v>
      </c>
      <c r="FC38" s="92">
        <f t="shared" si="120"/>
        <v>1639.240917554849</v>
      </c>
    </row>
    <row r="39" spans="1:159" s="4" customFormat="1" ht="17.25">
      <c r="A39" s="71">
        <v>35</v>
      </c>
      <c r="B39" s="94" t="s">
        <v>54</v>
      </c>
      <c r="C39" s="75">
        <v>1</v>
      </c>
      <c r="D39" s="94">
        <v>2</v>
      </c>
      <c r="E39" s="75">
        <v>600</v>
      </c>
      <c r="F39" s="75">
        <v>1600</v>
      </c>
      <c r="G39" s="94">
        <f t="shared" si="72"/>
        <v>600</v>
      </c>
      <c r="H39" s="94">
        <v>256</v>
      </c>
      <c r="I39" s="72">
        <v>12</v>
      </c>
      <c r="J39" s="94">
        <v>12</v>
      </c>
      <c r="K39" s="94">
        <v>16</v>
      </c>
      <c r="L39" s="100" t="s">
        <v>30</v>
      </c>
      <c r="M39" s="94">
        <v>240</v>
      </c>
      <c r="N39" s="100" t="s">
        <v>30</v>
      </c>
      <c r="O39" s="94" t="s">
        <v>21</v>
      </c>
      <c r="P39" s="77">
        <f t="shared" si="121"/>
        <v>132.24039427594911</v>
      </c>
      <c r="Q39" s="78">
        <f t="shared" si="73"/>
        <v>1374.044164932148</v>
      </c>
      <c r="R39" s="78"/>
      <c r="S39" s="89">
        <v>256</v>
      </c>
      <c r="T39" s="102" t="s">
        <v>47</v>
      </c>
      <c r="U39" s="102" t="s">
        <v>47</v>
      </c>
      <c r="V39" s="94" t="s">
        <v>55</v>
      </c>
      <c r="W39" s="94" t="s">
        <v>440</v>
      </c>
      <c r="X39" s="14" t="s">
        <v>39</v>
      </c>
      <c r="Y39" s="94" t="s">
        <v>40</v>
      </c>
      <c r="Z39" s="95">
        <v>9.5</v>
      </c>
      <c r="AA39" s="124" t="s">
        <v>559</v>
      </c>
      <c r="AB39" s="94">
        <v>10</v>
      </c>
      <c r="AC39" s="96">
        <v>3</v>
      </c>
      <c r="AD39" s="97">
        <v>428</v>
      </c>
      <c r="AE39" s="98">
        <f>700*C39</f>
        <v>700</v>
      </c>
      <c r="AF39" s="99">
        <v>80</v>
      </c>
      <c r="AG39" s="94"/>
      <c r="AH39" s="91"/>
      <c r="AI39" s="87">
        <f t="shared" si="61"/>
        <v>14.4</v>
      </c>
      <c r="AJ39" s="91">
        <f t="shared" si="62"/>
        <v>14.4</v>
      </c>
      <c r="AK39" s="91">
        <f t="shared" si="63"/>
        <v>9.6</v>
      </c>
      <c r="AL39" s="87">
        <f t="shared" si="64"/>
        <v>24</v>
      </c>
      <c r="AM39" s="92">
        <f>H39*F39/(10500+275*AC39)</f>
        <v>36.16777041942605</v>
      </c>
      <c r="AN39" s="73">
        <f t="shared" si="74"/>
        <v>1</v>
      </c>
      <c r="AO39" s="87">
        <v>2</v>
      </c>
      <c r="AP39" s="87">
        <v>1</v>
      </c>
      <c r="AQ39" s="87">
        <v>1</v>
      </c>
      <c r="AR39" s="87">
        <v>5</v>
      </c>
      <c r="AS39" s="87">
        <v>5</v>
      </c>
      <c r="AT39" s="87">
        <v>1</v>
      </c>
      <c r="AU39" s="87">
        <v>1</v>
      </c>
      <c r="AV39" s="87">
        <v>2.8</v>
      </c>
      <c r="AW39" s="87">
        <f t="shared" si="75"/>
        <v>14.4</v>
      </c>
      <c r="AX39" s="87">
        <f t="shared" si="76"/>
        <v>13.292307692307693</v>
      </c>
      <c r="AY39" s="91">
        <f t="shared" si="69"/>
        <v>21.159183673469386</v>
      </c>
      <c r="AZ39" s="91">
        <f t="shared" si="77"/>
        <v>23.753091955593025</v>
      </c>
      <c r="BA39" s="91"/>
      <c r="BB39" s="73">
        <v>0.02</v>
      </c>
      <c r="BC39" s="73">
        <f t="shared" si="122"/>
        <v>23.278030116481165</v>
      </c>
      <c r="BD39" s="73">
        <v>4.840412061378459</v>
      </c>
      <c r="BE39" s="87">
        <v>5.680910008889502</v>
      </c>
      <c r="BF39" s="42"/>
      <c r="BG39" s="42"/>
      <c r="BH39" s="92">
        <v>511</v>
      </c>
      <c r="BI39" s="92">
        <f t="shared" si="78"/>
        <v>6.4</v>
      </c>
      <c r="BJ39" s="87">
        <f t="shared" si="79"/>
        <v>3.6</v>
      </c>
      <c r="BK39" s="87">
        <f t="shared" si="80"/>
        <v>36.16777041942605</v>
      </c>
      <c r="BL39" s="87">
        <v>8</v>
      </c>
      <c r="BM39" s="87">
        <v>6</v>
      </c>
      <c r="BN39" s="87">
        <v>1</v>
      </c>
      <c r="BO39" s="93">
        <f t="shared" si="81"/>
        <v>6.79275008810177</v>
      </c>
      <c r="BP39" s="73">
        <f t="shared" si="66"/>
        <v>1419.6169984862975</v>
      </c>
      <c r="BQ39" s="42"/>
      <c r="BR39" s="92">
        <v>111</v>
      </c>
      <c r="BS39" s="92">
        <f t="shared" si="82"/>
        <v>6</v>
      </c>
      <c r="BT39" s="87">
        <f t="shared" si="83"/>
        <v>3.6</v>
      </c>
      <c r="BU39" s="92">
        <f t="shared" si="84"/>
        <v>36.16777041942605</v>
      </c>
      <c r="BV39" s="87">
        <v>8</v>
      </c>
      <c r="BW39" s="87">
        <v>6</v>
      </c>
      <c r="BX39" s="87">
        <v>1</v>
      </c>
      <c r="BY39" s="93">
        <f t="shared" si="85"/>
        <v>6.605785707085979</v>
      </c>
      <c r="BZ39" s="92">
        <f t="shared" si="86"/>
        <v>1794.2851431824124</v>
      </c>
      <c r="CA39" s="42"/>
      <c r="CB39" s="92">
        <v>122</v>
      </c>
      <c r="CC39" s="92">
        <f t="shared" si="87"/>
        <v>16</v>
      </c>
      <c r="CD39" s="87">
        <f t="shared" si="88"/>
        <v>1.6</v>
      </c>
      <c r="CE39" s="92">
        <f t="shared" si="71"/>
        <v>36.16777041942605</v>
      </c>
      <c r="CF39" s="87">
        <v>8</v>
      </c>
      <c r="CG39" s="87">
        <v>6</v>
      </c>
      <c r="CH39" s="87">
        <v>1</v>
      </c>
      <c r="CI39" s="93">
        <f t="shared" si="89"/>
        <v>4.675465506171078</v>
      </c>
      <c r="CJ39" s="92">
        <f t="shared" si="90"/>
        <v>1301.0644519291416</v>
      </c>
      <c r="CK39" s="42"/>
      <c r="CL39" s="92">
        <v>388</v>
      </c>
      <c r="CM39" s="92">
        <f t="shared" si="91"/>
        <v>12</v>
      </c>
      <c r="CN39" s="92">
        <f t="shared" si="92"/>
        <v>1.8</v>
      </c>
      <c r="CO39" s="92">
        <f t="shared" si="93"/>
        <v>36.16777041942605</v>
      </c>
      <c r="CP39" s="92">
        <v>8</v>
      </c>
      <c r="CQ39" s="92">
        <v>6</v>
      </c>
      <c r="CR39" s="92">
        <v>1</v>
      </c>
      <c r="CS39" s="92">
        <f t="shared" si="94"/>
        <v>4.965676097531407</v>
      </c>
      <c r="CT39" s="92">
        <f t="shared" si="95"/>
        <v>1242.847754670061</v>
      </c>
      <c r="CU39" s="42"/>
      <c r="CV39" s="92">
        <v>384</v>
      </c>
      <c r="CW39" s="92">
        <f t="shared" si="96"/>
        <v>12</v>
      </c>
      <c r="CX39" s="92">
        <f t="shared" si="97"/>
        <v>2.2153846153846155</v>
      </c>
      <c r="CY39" s="92">
        <f t="shared" si="98"/>
        <v>36.16777041942605</v>
      </c>
      <c r="CZ39" s="92">
        <v>8</v>
      </c>
      <c r="DA39" s="92">
        <v>6</v>
      </c>
      <c r="DB39" s="92">
        <v>1</v>
      </c>
      <c r="DC39" s="92">
        <f t="shared" si="99"/>
        <v>5.877773592351433</v>
      </c>
      <c r="DD39" s="92">
        <f t="shared" si="67"/>
        <v>1324.0614279433207</v>
      </c>
      <c r="DE39" s="42"/>
      <c r="DF39" s="92">
        <v>234</v>
      </c>
      <c r="DG39" s="92">
        <f t="shared" si="100"/>
        <v>13.714285714285714</v>
      </c>
      <c r="DH39" s="92">
        <f t="shared" si="101"/>
        <v>2.4</v>
      </c>
      <c r="DI39" s="92">
        <f t="shared" si="102"/>
        <v>36.16777041942605</v>
      </c>
      <c r="DJ39" s="92">
        <v>8</v>
      </c>
      <c r="DK39" s="92">
        <v>6</v>
      </c>
      <c r="DL39" s="92">
        <v>1</v>
      </c>
      <c r="DM39" s="92">
        <f t="shared" si="103"/>
        <v>6.428837689898045</v>
      </c>
      <c r="DN39" s="92">
        <f t="shared" si="104"/>
        <v>1439.1410770883126</v>
      </c>
      <c r="DO39" s="42"/>
      <c r="DP39" s="92">
        <v>477</v>
      </c>
      <c r="DQ39" s="92">
        <f t="shared" si="105"/>
        <v>16</v>
      </c>
      <c r="DR39" s="92">
        <f t="shared" si="106"/>
        <v>2.4</v>
      </c>
      <c r="DS39" s="92">
        <f t="shared" si="107"/>
        <v>36.16777041942605</v>
      </c>
      <c r="DT39" s="92">
        <v>8</v>
      </c>
      <c r="DU39" s="92">
        <v>6</v>
      </c>
      <c r="DV39" s="92">
        <v>1</v>
      </c>
      <c r="DW39" s="92">
        <f t="shared" si="108"/>
        <v>6.605785707085979</v>
      </c>
      <c r="DX39" s="92">
        <f t="shared" si="109"/>
        <v>1504.884313636862</v>
      </c>
      <c r="DY39" s="42"/>
      <c r="DZ39" s="92">
        <v>9999</v>
      </c>
      <c r="EA39" s="73">
        <f t="shared" si="110"/>
        <v>16</v>
      </c>
      <c r="EB39" s="73">
        <f t="shared" si="111"/>
        <v>2.4</v>
      </c>
      <c r="EC39" s="73">
        <f t="shared" si="112"/>
        <v>36.16777041942605</v>
      </c>
      <c r="ED39" s="92">
        <v>8</v>
      </c>
      <c r="EE39" s="92">
        <v>6</v>
      </c>
      <c r="EF39" s="92">
        <v>1</v>
      </c>
      <c r="EG39" s="92">
        <f t="shared" si="113"/>
        <v>6.605785707085979</v>
      </c>
      <c r="EH39" s="92">
        <f t="shared" si="114"/>
        <v>1504.884313636862</v>
      </c>
      <c r="EI39" s="42"/>
      <c r="EJ39" s="92">
        <v>548</v>
      </c>
      <c r="EK39" s="92">
        <f t="shared" si="115"/>
        <v>24</v>
      </c>
      <c r="EL39" s="92">
        <f t="shared" si="116"/>
        <v>2.618181818181818</v>
      </c>
      <c r="EM39" s="92">
        <f t="shared" si="117"/>
        <v>36.16777041942605</v>
      </c>
      <c r="EN39" s="92">
        <v>8</v>
      </c>
      <c r="EO39" s="92">
        <v>6</v>
      </c>
      <c r="EP39" s="92">
        <v>1</v>
      </c>
      <c r="EQ39" s="92">
        <f t="shared" si="118"/>
        <v>7.539633234394055</v>
      </c>
      <c r="ER39" s="92">
        <f t="shared" si="119"/>
        <v>1701.8020900000597</v>
      </c>
      <c r="ES39" s="42"/>
      <c r="ET39" s="73">
        <v>50</v>
      </c>
      <c r="EU39" s="73">
        <v>0</v>
      </c>
      <c r="EV39" s="73">
        <v>0</v>
      </c>
      <c r="EW39" s="73">
        <v>0</v>
      </c>
      <c r="EX39" s="73">
        <v>50</v>
      </c>
      <c r="EY39" s="73">
        <v>0</v>
      </c>
      <c r="EZ39" s="73">
        <v>0</v>
      </c>
      <c r="FA39" s="73">
        <v>0</v>
      </c>
      <c r="FB39" s="73">
        <v>0</v>
      </c>
      <c r="FC39" s="92">
        <f t="shared" si="120"/>
        <v>1374.044164932148</v>
      </c>
    </row>
    <row r="40" spans="1:159" s="4" customFormat="1" ht="17.25">
      <c r="A40" s="71">
        <v>36</v>
      </c>
      <c r="B40" s="94" t="s">
        <v>52</v>
      </c>
      <c r="C40" s="75">
        <v>1</v>
      </c>
      <c r="D40" s="94">
        <v>2</v>
      </c>
      <c r="E40" s="75">
        <v>800</v>
      </c>
      <c r="F40" s="75">
        <v>800</v>
      </c>
      <c r="G40" s="94">
        <f t="shared" si="72"/>
        <v>800</v>
      </c>
      <c r="H40" s="94">
        <v>128</v>
      </c>
      <c r="I40" s="72">
        <f aca="true" t="shared" si="123" ref="I40:I72">J40</f>
        <v>8</v>
      </c>
      <c r="J40" s="94">
        <v>8</v>
      </c>
      <c r="K40" s="94">
        <v>4</v>
      </c>
      <c r="L40" s="94" t="s">
        <v>25</v>
      </c>
      <c r="M40" s="94">
        <v>120</v>
      </c>
      <c r="N40" s="94" t="s">
        <v>25</v>
      </c>
      <c r="O40" s="94" t="s">
        <v>21</v>
      </c>
      <c r="P40" s="77">
        <f t="shared" si="121"/>
        <v>72.13134035313769</v>
      </c>
      <c r="Q40" s="78">
        <f t="shared" si="73"/>
        <v>715.4629219804997</v>
      </c>
      <c r="R40" s="78"/>
      <c r="S40" s="89">
        <v>1024</v>
      </c>
      <c r="T40" s="102" t="s">
        <v>47</v>
      </c>
      <c r="U40" s="102" t="s">
        <v>47</v>
      </c>
      <c r="V40" s="94" t="s">
        <v>441</v>
      </c>
      <c r="W40" s="94" t="s">
        <v>27</v>
      </c>
      <c r="X40" s="94" t="s">
        <v>28</v>
      </c>
      <c r="Y40" s="94" t="s">
        <v>23</v>
      </c>
      <c r="Z40" s="95" t="s">
        <v>430</v>
      </c>
      <c r="AA40" s="124" t="s">
        <v>559</v>
      </c>
      <c r="AB40" s="94">
        <v>10.1</v>
      </c>
      <c r="AC40" s="96">
        <v>3</v>
      </c>
      <c r="AD40" s="97">
        <v>118</v>
      </c>
      <c r="AE40" s="98">
        <f>378*C40</f>
        <v>378</v>
      </c>
      <c r="AF40" s="99">
        <v>55</v>
      </c>
      <c r="AG40" s="94"/>
      <c r="AH40" s="91"/>
      <c r="AI40" s="87">
        <f t="shared" si="61"/>
        <v>12.8</v>
      </c>
      <c r="AJ40" s="91">
        <f t="shared" si="62"/>
        <v>12.8</v>
      </c>
      <c r="AK40" s="91">
        <f t="shared" si="63"/>
        <v>3.2</v>
      </c>
      <c r="AL40" s="87">
        <f t="shared" si="64"/>
        <v>16</v>
      </c>
      <c r="AM40" s="92">
        <f>H40*F40/(8750+250*AC40)</f>
        <v>10.778947368421052</v>
      </c>
      <c r="AN40" s="73">
        <f t="shared" si="74"/>
        <v>1</v>
      </c>
      <c r="AO40" s="87">
        <v>2</v>
      </c>
      <c r="AP40" s="87">
        <v>1</v>
      </c>
      <c r="AQ40" s="87">
        <v>1</v>
      </c>
      <c r="AR40" s="87">
        <v>5</v>
      </c>
      <c r="AS40" s="87">
        <v>5</v>
      </c>
      <c r="AT40" s="87">
        <v>1</v>
      </c>
      <c r="AU40" s="87">
        <v>1</v>
      </c>
      <c r="AV40" s="87">
        <v>2.8</v>
      </c>
      <c r="AW40" s="87">
        <f t="shared" si="75"/>
        <v>12.8</v>
      </c>
      <c r="AX40" s="87">
        <f t="shared" si="76"/>
        <v>8.533333333333335</v>
      </c>
      <c r="AY40" s="91">
        <f t="shared" si="69"/>
        <v>13.963636363636365</v>
      </c>
      <c r="AZ40" s="91">
        <f t="shared" si="77"/>
        <v>12.95627081021088</v>
      </c>
      <c r="BA40" s="91"/>
      <c r="BB40" s="73">
        <v>0.02</v>
      </c>
      <c r="BC40" s="73">
        <f t="shared" si="122"/>
        <v>12.697145394006661</v>
      </c>
      <c r="BD40" s="73">
        <v>4.840412061378459</v>
      </c>
      <c r="BE40" s="87">
        <v>5.680910008889502</v>
      </c>
      <c r="BF40" s="42"/>
      <c r="BG40" s="42"/>
      <c r="BH40" s="92">
        <v>511</v>
      </c>
      <c r="BI40" s="92">
        <f t="shared" si="78"/>
        <v>2.1333333333333333</v>
      </c>
      <c r="BJ40" s="87">
        <f t="shared" si="79"/>
        <v>2.4</v>
      </c>
      <c r="BK40" s="87">
        <f t="shared" si="80"/>
        <v>10.778947368421052</v>
      </c>
      <c r="BL40" s="87">
        <v>8</v>
      </c>
      <c r="BM40" s="87">
        <v>6</v>
      </c>
      <c r="BN40" s="87">
        <v>1</v>
      </c>
      <c r="BO40" s="93">
        <f t="shared" si="81"/>
        <v>3.153194765204003</v>
      </c>
      <c r="BP40" s="73">
        <f t="shared" si="66"/>
        <v>684.764272616438</v>
      </c>
      <c r="BQ40" s="42"/>
      <c r="BR40" s="92">
        <v>111</v>
      </c>
      <c r="BS40" s="92">
        <f t="shared" si="82"/>
        <v>2</v>
      </c>
      <c r="BT40" s="87">
        <f t="shared" si="83"/>
        <v>2.4</v>
      </c>
      <c r="BU40" s="92">
        <f t="shared" si="84"/>
        <v>10.778947368421052</v>
      </c>
      <c r="BV40" s="87">
        <v>8</v>
      </c>
      <c r="BW40" s="87">
        <v>6</v>
      </c>
      <c r="BX40" s="87">
        <v>1</v>
      </c>
      <c r="BY40" s="93">
        <f t="shared" si="85"/>
        <v>3.0336246482002664</v>
      </c>
      <c r="BZ40" s="92">
        <f t="shared" si="86"/>
        <v>870.1341407408298</v>
      </c>
      <c r="CA40" s="42"/>
      <c r="CB40" s="92">
        <v>122</v>
      </c>
      <c r="CC40" s="92">
        <f t="shared" si="87"/>
        <v>5.333333333333333</v>
      </c>
      <c r="CD40" s="87">
        <f t="shared" si="88"/>
        <v>1.0666666666666667</v>
      </c>
      <c r="CE40" s="92">
        <f t="shared" si="71"/>
        <v>10.778947368421052</v>
      </c>
      <c r="CF40" s="87">
        <v>8</v>
      </c>
      <c r="CG40" s="87">
        <v>6</v>
      </c>
      <c r="CH40" s="87">
        <v>1</v>
      </c>
      <c r="CI40" s="93">
        <f t="shared" si="89"/>
        <v>2.7709376268434585</v>
      </c>
      <c r="CJ40" s="92">
        <f t="shared" si="90"/>
        <v>799.8426740589042</v>
      </c>
      <c r="CK40" s="42"/>
      <c r="CL40" s="92">
        <v>388</v>
      </c>
      <c r="CM40" s="92">
        <f t="shared" si="91"/>
        <v>4</v>
      </c>
      <c r="CN40" s="92">
        <f t="shared" si="92"/>
        <v>1.2</v>
      </c>
      <c r="CO40" s="92">
        <f t="shared" si="93"/>
        <v>10.778947368421052</v>
      </c>
      <c r="CP40" s="92">
        <v>8</v>
      </c>
      <c r="CQ40" s="92">
        <v>6</v>
      </c>
      <c r="CR40" s="92">
        <v>1</v>
      </c>
      <c r="CS40" s="92">
        <f t="shared" si="94"/>
        <v>2.81977144430676</v>
      </c>
      <c r="CT40" s="92">
        <f t="shared" si="95"/>
        <v>734.2719972035533</v>
      </c>
      <c r="CU40" s="42"/>
      <c r="CV40" s="92">
        <v>384</v>
      </c>
      <c r="CW40" s="92">
        <f t="shared" si="96"/>
        <v>4</v>
      </c>
      <c r="CX40" s="92">
        <f t="shared" si="97"/>
        <v>1.476923076923077</v>
      </c>
      <c r="CY40" s="92">
        <f t="shared" si="98"/>
        <v>10.778947368421052</v>
      </c>
      <c r="CZ40" s="92">
        <v>8</v>
      </c>
      <c r="DA40" s="92">
        <v>6</v>
      </c>
      <c r="DB40" s="92">
        <v>1</v>
      </c>
      <c r="DC40" s="92">
        <f t="shared" si="99"/>
        <v>3.249246390607647</v>
      </c>
      <c r="DD40" s="92">
        <f t="shared" si="67"/>
        <v>762.9534486838497</v>
      </c>
      <c r="DE40" s="42"/>
      <c r="DF40" s="92">
        <v>234</v>
      </c>
      <c r="DG40" s="92">
        <f t="shared" si="100"/>
        <v>4.571428571428571</v>
      </c>
      <c r="DH40" s="92">
        <f t="shared" si="101"/>
        <v>1.6</v>
      </c>
      <c r="DI40" s="92">
        <f t="shared" si="102"/>
        <v>10.778947368421052</v>
      </c>
      <c r="DJ40" s="92">
        <v>8</v>
      </c>
      <c r="DK40" s="92">
        <v>6</v>
      </c>
      <c r="DL40" s="92">
        <v>1</v>
      </c>
      <c r="DM40" s="92">
        <f t="shared" si="103"/>
        <v>3.57604330364938</v>
      </c>
      <c r="DN40" s="92">
        <f t="shared" si="104"/>
        <v>834.0743309652122</v>
      </c>
      <c r="DO40" s="42"/>
      <c r="DP40" s="92">
        <v>477</v>
      </c>
      <c r="DQ40" s="92">
        <f t="shared" si="105"/>
        <v>5.333333333333333</v>
      </c>
      <c r="DR40" s="92">
        <f t="shared" si="106"/>
        <v>1.6</v>
      </c>
      <c r="DS40" s="92">
        <f t="shared" si="107"/>
        <v>10.778947368421052</v>
      </c>
      <c r="DT40" s="92">
        <v>8</v>
      </c>
      <c r="DU40" s="92">
        <v>6</v>
      </c>
      <c r="DV40" s="92">
        <v>1</v>
      </c>
      <c r="DW40" s="92">
        <f t="shared" si="108"/>
        <v>3.743374154633522</v>
      </c>
      <c r="DX40" s="92">
        <f t="shared" si="109"/>
        <v>887.3769813236372</v>
      </c>
      <c r="DY40" s="42"/>
      <c r="DZ40" s="92">
        <v>9999</v>
      </c>
      <c r="EA40" s="73">
        <f t="shared" si="110"/>
        <v>5.333333333333333</v>
      </c>
      <c r="EB40" s="73">
        <f t="shared" si="111"/>
        <v>1.6</v>
      </c>
      <c r="EC40" s="73">
        <f t="shared" si="112"/>
        <v>10.778947368421052</v>
      </c>
      <c r="ED40" s="92">
        <v>8</v>
      </c>
      <c r="EE40" s="92">
        <v>6</v>
      </c>
      <c r="EF40" s="92">
        <v>1</v>
      </c>
      <c r="EG40" s="92">
        <f t="shared" si="113"/>
        <v>3.743374154633522</v>
      </c>
      <c r="EH40" s="92">
        <f t="shared" si="114"/>
        <v>887.3769813236372</v>
      </c>
      <c r="EI40" s="42"/>
      <c r="EJ40" s="92">
        <v>548</v>
      </c>
      <c r="EK40" s="92">
        <f t="shared" si="115"/>
        <v>8</v>
      </c>
      <c r="EL40" s="92">
        <f t="shared" si="116"/>
        <v>1.7454545454545454</v>
      </c>
      <c r="EM40" s="92">
        <f t="shared" si="117"/>
        <v>10.778947368421052</v>
      </c>
      <c r="EN40" s="92">
        <v>8</v>
      </c>
      <c r="EO40" s="92">
        <v>6</v>
      </c>
      <c r="EP40" s="92">
        <v>1</v>
      </c>
      <c r="EQ40" s="92">
        <f t="shared" si="118"/>
        <v>4.414744557016599</v>
      </c>
      <c r="ER40" s="92">
        <f t="shared" si="119"/>
        <v>1034.5120106390445</v>
      </c>
      <c r="ES40" s="42"/>
      <c r="ET40" s="73">
        <v>50</v>
      </c>
      <c r="EU40" s="73">
        <v>0</v>
      </c>
      <c r="EV40" s="73">
        <v>0</v>
      </c>
      <c r="EW40" s="73">
        <v>0</v>
      </c>
      <c r="EX40" s="73">
        <v>50</v>
      </c>
      <c r="EY40" s="73">
        <v>0</v>
      </c>
      <c r="EZ40" s="73">
        <v>0</v>
      </c>
      <c r="FA40" s="73">
        <v>0</v>
      </c>
      <c r="FB40" s="73">
        <v>0</v>
      </c>
      <c r="FC40" s="92">
        <f t="shared" si="120"/>
        <v>715.4629219804997</v>
      </c>
    </row>
    <row r="41" spans="1:159" s="4" customFormat="1" ht="17.25">
      <c r="A41" s="71">
        <v>37</v>
      </c>
      <c r="B41" s="94" t="s">
        <v>442</v>
      </c>
      <c r="C41" s="75">
        <v>1</v>
      </c>
      <c r="D41" s="94">
        <v>2</v>
      </c>
      <c r="E41" s="75">
        <v>725</v>
      </c>
      <c r="F41" s="75">
        <v>1600</v>
      </c>
      <c r="G41" s="94">
        <f t="shared" si="72"/>
        <v>725</v>
      </c>
      <c r="H41" s="94">
        <v>128</v>
      </c>
      <c r="I41" s="72">
        <f t="shared" si="123"/>
        <v>8</v>
      </c>
      <c r="J41" s="94">
        <v>8</v>
      </c>
      <c r="K41" s="94">
        <v>4</v>
      </c>
      <c r="L41" s="94" t="s">
        <v>25</v>
      </c>
      <c r="M41" s="94">
        <v>120</v>
      </c>
      <c r="N41" s="94" t="s">
        <v>25</v>
      </c>
      <c r="O41" s="94" t="s">
        <v>21</v>
      </c>
      <c r="P41" s="77">
        <f t="shared" si="121"/>
        <v>79.04211839573631</v>
      </c>
      <c r="Q41" s="78">
        <f t="shared" si="73"/>
        <v>657.1758548921341</v>
      </c>
      <c r="R41" s="78"/>
      <c r="S41" s="89">
        <v>512</v>
      </c>
      <c r="T41" s="90">
        <v>12</v>
      </c>
      <c r="U41" s="90">
        <v>50</v>
      </c>
      <c r="V41" s="94" t="s">
        <v>441</v>
      </c>
      <c r="W41" s="94" t="s">
        <v>27</v>
      </c>
      <c r="X41" s="94" t="s">
        <v>28</v>
      </c>
      <c r="Y41" s="94" t="s">
        <v>23</v>
      </c>
      <c r="Z41" s="95" t="s">
        <v>430</v>
      </c>
      <c r="AA41" s="124" t="s">
        <v>559</v>
      </c>
      <c r="AB41" s="94">
        <v>10.1</v>
      </c>
      <c r="AC41" s="96">
        <v>3</v>
      </c>
      <c r="AD41" s="97">
        <v>118</v>
      </c>
      <c r="AE41" s="98">
        <f>378*C41</f>
        <v>378</v>
      </c>
      <c r="AF41" s="99">
        <v>55</v>
      </c>
      <c r="AG41" s="94"/>
      <c r="AH41" s="91"/>
      <c r="AI41" s="87">
        <f t="shared" si="61"/>
        <v>11.6</v>
      </c>
      <c r="AJ41" s="91">
        <f t="shared" si="62"/>
        <v>11.6</v>
      </c>
      <c r="AK41" s="91">
        <f t="shared" si="63"/>
        <v>2.9</v>
      </c>
      <c r="AL41" s="87">
        <f t="shared" si="64"/>
        <v>14.5</v>
      </c>
      <c r="AM41" s="92">
        <f>H41*F41/(8750+250*AC41)</f>
        <v>21.557894736842105</v>
      </c>
      <c r="AN41" s="73">
        <f t="shared" si="74"/>
        <v>1</v>
      </c>
      <c r="AO41" s="87">
        <v>2</v>
      </c>
      <c r="AP41" s="87">
        <v>1</v>
      </c>
      <c r="AQ41" s="87">
        <v>1</v>
      </c>
      <c r="AR41" s="87">
        <v>5</v>
      </c>
      <c r="AS41" s="87">
        <v>5</v>
      </c>
      <c r="AT41" s="87">
        <v>1</v>
      </c>
      <c r="AU41" s="87">
        <v>1</v>
      </c>
      <c r="AV41" s="87">
        <v>2.8</v>
      </c>
      <c r="AW41" s="87">
        <f t="shared" si="75"/>
        <v>11.600000000000001</v>
      </c>
      <c r="AX41" s="87">
        <f t="shared" si="76"/>
        <v>7.733333333333334</v>
      </c>
      <c r="AY41" s="91">
        <f t="shared" si="69"/>
        <v>12.654545454545456</v>
      </c>
      <c r="AZ41" s="91">
        <f t="shared" si="77"/>
        <v>14.19758854243117</v>
      </c>
      <c r="BA41" s="91"/>
      <c r="BB41" s="73">
        <v>0.02</v>
      </c>
      <c r="BC41" s="73">
        <f t="shared" si="122"/>
        <v>13.913636771582546</v>
      </c>
      <c r="BD41" s="73">
        <v>4.840412061378459</v>
      </c>
      <c r="BE41" s="87">
        <v>5.680910008889502</v>
      </c>
      <c r="BF41" s="42"/>
      <c r="BG41" s="42"/>
      <c r="BH41" s="92">
        <v>511</v>
      </c>
      <c r="BI41" s="92">
        <f t="shared" si="78"/>
        <v>1.9333333333333333</v>
      </c>
      <c r="BJ41" s="87">
        <f t="shared" si="79"/>
        <v>2.175</v>
      </c>
      <c r="BK41" s="87">
        <f t="shared" si="80"/>
        <v>21.557894736842105</v>
      </c>
      <c r="BL41" s="87">
        <v>8</v>
      </c>
      <c r="BM41" s="87">
        <v>6</v>
      </c>
      <c r="BN41" s="87">
        <v>1</v>
      </c>
      <c r="BO41" s="93">
        <f t="shared" si="81"/>
        <v>2.880624704441561</v>
      </c>
      <c r="BP41" s="73">
        <f t="shared" si="66"/>
        <v>628.4057972289173</v>
      </c>
      <c r="BQ41" s="42"/>
      <c r="BR41" s="92">
        <v>111</v>
      </c>
      <c r="BS41" s="92">
        <f t="shared" si="82"/>
        <v>1.8125</v>
      </c>
      <c r="BT41" s="87">
        <f t="shared" si="83"/>
        <v>2.175</v>
      </c>
      <c r="BU41" s="92">
        <f t="shared" si="84"/>
        <v>21.557894736842105</v>
      </c>
      <c r="BV41" s="87">
        <v>8</v>
      </c>
      <c r="BW41" s="87">
        <v>6</v>
      </c>
      <c r="BX41" s="87">
        <v>1</v>
      </c>
      <c r="BY41" s="93">
        <f t="shared" si="85"/>
        <v>2.7705433842034433</v>
      </c>
      <c r="BZ41" s="92">
        <f t="shared" si="86"/>
        <v>799.7368397381031</v>
      </c>
      <c r="CA41" s="42"/>
      <c r="CB41" s="92">
        <v>122</v>
      </c>
      <c r="CC41" s="92">
        <f t="shared" si="87"/>
        <v>4.833333333333333</v>
      </c>
      <c r="CD41" s="87">
        <f t="shared" si="88"/>
        <v>0.9666666666666667</v>
      </c>
      <c r="CE41" s="92">
        <f t="shared" si="71"/>
        <v>21.557894736842105</v>
      </c>
      <c r="CF41" s="87">
        <v>8</v>
      </c>
      <c r="CG41" s="87">
        <v>6</v>
      </c>
      <c r="CH41" s="87">
        <v>1</v>
      </c>
      <c r="CI41" s="93">
        <f t="shared" si="89"/>
        <v>2.528938745877679</v>
      </c>
      <c r="CJ41" s="92">
        <f t="shared" si="90"/>
        <v>734.6734111658657</v>
      </c>
      <c r="CK41" s="42"/>
      <c r="CL41" s="92">
        <v>388</v>
      </c>
      <c r="CM41" s="92">
        <f t="shared" si="91"/>
        <v>3.625</v>
      </c>
      <c r="CN41" s="92">
        <f t="shared" si="92"/>
        <v>1.0875</v>
      </c>
      <c r="CO41" s="92">
        <f t="shared" si="93"/>
        <v>21.557894736842105</v>
      </c>
      <c r="CP41" s="92">
        <v>8</v>
      </c>
      <c r="CQ41" s="92">
        <v>6</v>
      </c>
      <c r="CR41" s="92">
        <v>1</v>
      </c>
      <c r="CS41" s="92">
        <f t="shared" si="94"/>
        <v>2.573828782662018</v>
      </c>
      <c r="CT41" s="92">
        <f t="shared" si="95"/>
        <v>674.5235372591433</v>
      </c>
      <c r="CU41" s="42"/>
      <c r="CV41" s="92">
        <v>384</v>
      </c>
      <c r="CW41" s="92">
        <f t="shared" si="96"/>
        <v>3.625</v>
      </c>
      <c r="CX41" s="92">
        <f t="shared" si="97"/>
        <v>1.3384615384615384</v>
      </c>
      <c r="CY41" s="92">
        <f t="shared" si="98"/>
        <v>21.557894736842105</v>
      </c>
      <c r="CZ41" s="92">
        <v>8</v>
      </c>
      <c r="DA41" s="92">
        <v>6</v>
      </c>
      <c r="DB41" s="92">
        <v>1</v>
      </c>
      <c r="DC41" s="92">
        <f t="shared" si="99"/>
        <v>2.9691026753018868</v>
      </c>
      <c r="DD41" s="92">
        <f t="shared" si="67"/>
        <v>701.5871589447472</v>
      </c>
      <c r="DE41" s="42"/>
      <c r="DF41" s="92">
        <v>234</v>
      </c>
      <c r="DG41" s="92">
        <f t="shared" si="100"/>
        <v>4.142857142857143</v>
      </c>
      <c r="DH41" s="92">
        <f t="shared" si="101"/>
        <v>1.45</v>
      </c>
      <c r="DI41" s="92">
        <f t="shared" si="102"/>
        <v>21.557894736842105</v>
      </c>
      <c r="DJ41" s="92">
        <v>8</v>
      </c>
      <c r="DK41" s="92">
        <v>6</v>
      </c>
      <c r="DL41" s="92">
        <v>1</v>
      </c>
      <c r="DM41" s="92">
        <f t="shared" si="103"/>
        <v>3.2704575678064334</v>
      </c>
      <c r="DN41" s="92">
        <f t="shared" si="104"/>
        <v>767.5843348637488</v>
      </c>
      <c r="DO41" s="42"/>
      <c r="DP41" s="92">
        <v>477</v>
      </c>
      <c r="DQ41" s="92">
        <f t="shared" si="105"/>
        <v>4.833333333333333</v>
      </c>
      <c r="DR41" s="92">
        <f t="shared" si="106"/>
        <v>1.45</v>
      </c>
      <c r="DS41" s="92">
        <f t="shared" si="107"/>
        <v>21.557894736842105</v>
      </c>
      <c r="DT41" s="92">
        <v>8</v>
      </c>
      <c r="DU41" s="92">
        <v>6</v>
      </c>
      <c r="DV41" s="92">
        <v>1</v>
      </c>
      <c r="DW41" s="92">
        <f t="shared" si="108"/>
        <v>3.4249565335232495</v>
      </c>
      <c r="DX41" s="92">
        <f t="shared" si="109"/>
        <v>816.9633193197508</v>
      </c>
      <c r="DY41" s="42"/>
      <c r="DZ41" s="92">
        <v>9999</v>
      </c>
      <c r="EA41" s="73">
        <f t="shared" si="110"/>
        <v>4.833333333333333</v>
      </c>
      <c r="EB41" s="73">
        <f t="shared" si="111"/>
        <v>1.45</v>
      </c>
      <c r="EC41" s="73">
        <f t="shared" si="112"/>
        <v>21.557894736842105</v>
      </c>
      <c r="ED41" s="92">
        <v>8</v>
      </c>
      <c r="EE41" s="92">
        <v>6</v>
      </c>
      <c r="EF41" s="92">
        <v>1</v>
      </c>
      <c r="EG41" s="92">
        <f t="shared" si="113"/>
        <v>3.4249565335232495</v>
      </c>
      <c r="EH41" s="92">
        <f t="shared" si="114"/>
        <v>816.9633193197508</v>
      </c>
      <c r="EI41" s="42"/>
      <c r="EJ41" s="92">
        <v>548</v>
      </c>
      <c r="EK41" s="92">
        <f t="shared" si="115"/>
        <v>7.25</v>
      </c>
      <c r="EL41" s="92">
        <f t="shared" si="116"/>
        <v>1.5818181818181818</v>
      </c>
      <c r="EM41" s="92">
        <f t="shared" si="117"/>
        <v>21.557894736842105</v>
      </c>
      <c r="EN41" s="92">
        <v>8</v>
      </c>
      <c r="EO41" s="92">
        <v>6</v>
      </c>
      <c r="EP41" s="92">
        <v>1</v>
      </c>
      <c r="EQ41" s="92">
        <f t="shared" si="118"/>
        <v>4.046176223128307</v>
      </c>
      <c r="ER41" s="92">
        <f t="shared" si="119"/>
        <v>953.9486683355224</v>
      </c>
      <c r="ES41" s="42"/>
      <c r="ET41" s="73">
        <v>50</v>
      </c>
      <c r="EU41" s="73">
        <v>0</v>
      </c>
      <c r="EV41" s="73">
        <v>0</v>
      </c>
      <c r="EW41" s="73">
        <v>0</v>
      </c>
      <c r="EX41" s="73">
        <v>50</v>
      </c>
      <c r="EY41" s="73">
        <v>0</v>
      </c>
      <c r="EZ41" s="73">
        <v>0</v>
      </c>
      <c r="FA41" s="73">
        <v>0</v>
      </c>
      <c r="FB41" s="73">
        <v>0</v>
      </c>
      <c r="FC41" s="92">
        <f t="shared" si="120"/>
        <v>657.1758548921341</v>
      </c>
    </row>
    <row r="42" spans="1:159" s="4" customFormat="1" ht="17.25">
      <c r="A42" s="71">
        <v>38</v>
      </c>
      <c r="B42" s="94" t="s">
        <v>443</v>
      </c>
      <c r="C42" s="75">
        <v>1</v>
      </c>
      <c r="D42" s="94">
        <v>2</v>
      </c>
      <c r="E42" s="75">
        <v>800</v>
      </c>
      <c r="F42" s="75">
        <v>1600</v>
      </c>
      <c r="G42" s="94">
        <f t="shared" si="72"/>
        <v>800</v>
      </c>
      <c r="H42" s="94">
        <v>128</v>
      </c>
      <c r="I42" s="72">
        <f t="shared" si="123"/>
        <v>8</v>
      </c>
      <c r="J42" s="94">
        <v>8</v>
      </c>
      <c r="K42" s="94">
        <v>4</v>
      </c>
      <c r="L42" s="100" t="s">
        <v>30</v>
      </c>
      <c r="M42" s="94">
        <v>120</v>
      </c>
      <c r="N42" s="100" t="s">
        <v>30</v>
      </c>
      <c r="O42" s="94" t="s">
        <v>21</v>
      </c>
      <c r="P42" s="77">
        <f t="shared" si="121"/>
        <v>82.69805968910711</v>
      </c>
      <c r="Q42" s="78">
        <f t="shared" si="73"/>
        <v>719.5119917575986</v>
      </c>
      <c r="R42" s="78"/>
      <c r="S42" s="89">
        <v>512</v>
      </c>
      <c r="T42" s="90">
        <v>20</v>
      </c>
      <c r="U42" s="90">
        <v>55</v>
      </c>
      <c r="V42" s="94" t="s">
        <v>55</v>
      </c>
      <c r="W42" s="94" t="s">
        <v>27</v>
      </c>
      <c r="X42" s="94" t="s">
        <v>28</v>
      </c>
      <c r="Y42" s="94" t="s">
        <v>40</v>
      </c>
      <c r="Z42" s="95" t="s">
        <v>430</v>
      </c>
      <c r="AA42" s="124" t="s">
        <v>559</v>
      </c>
      <c r="AB42" s="94">
        <v>10</v>
      </c>
      <c r="AC42" s="96">
        <v>3</v>
      </c>
      <c r="AD42" s="97">
        <v>153</v>
      </c>
      <c r="AE42" s="98">
        <f>390*C42</f>
        <v>390</v>
      </c>
      <c r="AF42" s="99">
        <v>65</v>
      </c>
      <c r="AG42" s="94"/>
      <c r="AH42" s="91"/>
      <c r="AI42" s="87">
        <f t="shared" si="61"/>
        <v>12.8</v>
      </c>
      <c r="AJ42" s="91">
        <f t="shared" si="62"/>
        <v>12.8</v>
      </c>
      <c r="AK42" s="91">
        <f aca="true" t="shared" si="124" ref="AK42:AK72">K42*E42/1000</f>
        <v>3.2</v>
      </c>
      <c r="AL42" s="87">
        <f t="shared" si="64"/>
        <v>16</v>
      </c>
      <c r="AM42" s="92">
        <f>H42*F42/(10500+275*AC42)</f>
        <v>18.083885209713024</v>
      </c>
      <c r="AN42" s="73">
        <f t="shared" si="74"/>
        <v>1</v>
      </c>
      <c r="AO42" s="87">
        <v>2</v>
      </c>
      <c r="AP42" s="87">
        <v>1</v>
      </c>
      <c r="AQ42" s="87">
        <v>1</v>
      </c>
      <c r="AR42" s="87">
        <v>5</v>
      </c>
      <c r="AS42" s="87">
        <v>5</v>
      </c>
      <c r="AT42" s="87">
        <v>1</v>
      </c>
      <c r="AU42" s="87">
        <v>1</v>
      </c>
      <c r="AV42" s="87">
        <v>2.8</v>
      </c>
      <c r="AW42" s="87">
        <f t="shared" si="75"/>
        <v>12.8</v>
      </c>
      <c r="AX42" s="87">
        <f t="shared" si="76"/>
        <v>8.533333333333335</v>
      </c>
      <c r="AY42" s="91">
        <f t="shared" si="69"/>
        <v>13.963636363636365</v>
      </c>
      <c r="AZ42" s="91">
        <f t="shared" si="77"/>
        <v>14.85427071735327</v>
      </c>
      <c r="BA42" s="91"/>
      <c r="BB42" s="73">
        <v>0.02</v>
      </c>
      <c r="BC42" s="73">
        <f t="shared" si="122"/>
        <v>14.557185303006204</v>
      </c>
      <c r="BD42" s="73">
        <v>4.840412061378459</v>
      </c>
      <c r="BE42" s="87">
        <v>5.680910008889502</v>
      </c>
      <c r="BF42" s="42"/>
      <c r="BG42" s="42"/>
      <c r="BH42" s="92">
        <v>511</v>
      </c>
      <c r="BI42" s="92">
        <f t="shared" si="78"/>
        <v>2.1333333333333333</v>
      </c>
      <c r="BJ42" s="87">
        <f t="shared" si="79"/>
        <v>2.4</v>
      </c>
      <c r="BK42" s="87">
        <f t="shared" si="80"/>
        <v>18.083885209713024</v>
      </c>
      <c r="BL42" s="87">
        <v>8</v>
      </c>
      <c r="BM42" s="87">
        <v>6</v>
      </c>
      <c r="BN42" s="87">
        <v>1</v>
      </c>
      <c r="BO42" s="93">
        <f t="shared" si="81"/>
        <v>3.171935802373531</v>
      </c>
      <c r="BP42" s="73">
        <f t="shared" si="66"/>
        <v>688.6301059074501</v>
      </c>
      <c r="BQ42" s="42"/>
      <c r="BR42" s="92">
        <v>111</v>
      </c>
      <c r="BS42" s="92">
        <f t="shared" si="82"/>
        <v>2</v>
      </c>
      <c r="BT42" s="87">
        <f t="shared" si="83"/>
        <v>2.4</v>
      </c>
      <c r="BU42" s="92">
        <f t="shared" si="84"/>
        <v>18.083885209713024</v>
      </c>
      <c r="BV42" s="87">
        <v>8</v>
      </c>
      <c r="BW42" s="87">
        <v>6</v>
      </c>
      <c r="BX42" s="87">
        <v>1</v>
      </c>
      <c r="BY42" s="93">
        <f t="shared" si="85"/>
        <v>3.0509673935308466</v>
      </c>
      <c r="BZ42" s="92">
        <f t="shared" si="86"/>
        <v>874.7594250181196</v>
      </c>
      <c r="CA42" s="42"/>
      <c r="CB42" s="92">
        <v>122</v>
      </c>
      <c r="CC42" s="92">
        <f t="shared" si="87"/>
        <v>5.333333333333333</v>
      </c>
      <c r="CD42" s="87">
        <f t="shared" si="88"/>
        <v>1.0666666666666667</v>
      </c>
      <c r="CE42" s="92">
        <f t="shared" si="71"/>
        <v>18.083885209713024</v>
      </c>
      <c r="CF42" s="87">
        <v>8</v>
      </c>
      <c r="CG42" s="87">
        <v>6</v>
      </c>
      <c r="CH42" s="87">
        <v>1</v>
      </c>
      <c r="CI42" s="93">
        <f t="shared" si="89"/>
        <v>2.785399772190204</v>
      </c>
      <c r="CJ42" s="92">
        <f t="shared" si="90"/>
        <v>803.7243055099195</v>
      </c>
      <c r="CK42" s="42"/>
      <c r="CL42" s="92">
        <v>388</v>
      </c>
      <c r="CM42" s="92">
        <f t="shared" si="91"/>
        <v>4</v>
      </c>
      <c r="CN42" s="92">
        <f t="shared" si="92"/>
        <v>1.2</v>
      </c>
      <c r="CO42" s="92">
        <f t="shared" si="93"/>
        <v>18.083885209713024</v>
      </c>
      <c r="CP42" s="92">
        <v>8</v>
      </c>
      <c r="CQ42" s="92">
        <v>6</v>
      </c>
      <c r="CR42" s="92">
        <v>1</v>
      </c>
      <c r="CS42" s="92">
        <f t="shared" si="94"/>
        <v>2.834749208436424</v>
      </c>
      <c r="CT42" s="92">
        <f t="shared" si="95"/>
        <v>737.8985365941563</v>
      </c>
      <c r="CU42" s="42"/>
      <c r="CV42" s="92">
        <v>384</v>
      </c>
      <c r="CW42" s="92">
        <f t="shared" si="96"/>
        <v>4</v>
      </c>
      <c r="CX42" s="92">
        <f t="shared" si="97"/>
        <v>1.476923076923077</v>
      </c>
      <c r="CY42" s="92">
        <f t="shared" si="98"/>
        <v>18.083885209713024</v>
      </c>
      <c r="CZ42" s="92">
        <v>8</v>
      </c>
      <c r="DA42" s="92">
        <v>6</v>
      </c>
      <c r="DB42" s="92">
        <v>1</v>
      </c>
      <c r="DC42" s="92">
        <f t="shared" si="99"/>
        <v>3.2691501885587724</v>
      </c>
      <c r="DD42" s="92">
        <f t="shared" si="67"/>
        <v>767.2989649415043</v>
      </c>
      <c r="DE42" s="42"/>
      <c r="DF42" s="92">
        <v>234</v>
      </c>
      <c r="DG42" s="92">
        <f t="shared" si="100"/>
        <v>4.571428571428571</v>
      </c>
      <c r="DH42" s="92">
        <f t="shared" si="101"/>
        <v>1.6</v>
      </c>
      <c r="DI42" s="92">
        <f t="shared" si="102"/>
        <v>18.083885209713024</v>
      </c>
      <c r="DJ42" s="92">
        <v>8</v>
      </c>
      <c r="DK42" s="92">
        <v>6</v>
      </c>
      <c r="DL42" s="92">
        <v>1</v>
      </c>
      <c r="DM42" s="92">
        <f t="shared" si="103"/>
        <v>3.600166999934079</v>
      </c>
      <c r="DN42" s="92">
        <f t="shared" si="104"/>
        <v>839.3058339932213</v>
      </c>
      <c r="DO42" s="42"/>
      <c r="DP42" s="92">
        <v>477</v>
      </c>
      <c r="DQ42" s="92">
        <f t="shared" si="105"/>
        <v>5.333333333333333</v>
      </c>
      <c r="DR42" s="92">
        <f t="shared" si="106"/>
        <v>1.6</v>
      </c>
      <c r="DS42" s="92">
        <f t="shared" si="107"/>
        <v>18.083885209713024</v>
      </c>
      <c r="DT42" s="92">
        <v>8</v>
      </c>
      <c r="DU42" s="92">
        <v>6</v>
      </c>
      <c r="DV42" s="92">
        <v>1</v>
      </c>
      <c r="DW42" s="92">
        <f t="shared" si="108"/>
        <v>3.7698166171970273</v>
      </c>
      <c r="DX42" s="92">
        <f t="shared" si="109"/>
        <v>893.2050230488338</v>
      </c>
      <c r="DY42" s="42"/>
      <c r="DZ42" s="92">
        <v>9999</v>
      </c>
      <c r="EA42" s="73">
        <f t="shared" si="110"/>
        <v>5.333333333333333</v>
      </c>
      <c r="EB42" s="73">
        <f t="shared" si="111"/>
        <v>1.6</v>
      </c>
      <c r="EC42" s="73">
        <f t="shared" si="112"/>
        <v>18.083885209713024</v>
      </c>
      <c r="ED42" s="92">
        <v>8</v>
      </c>
      <c r="EE42" s="92">
        <v>6</v>
      </c>
      <c r="EF42" s="92">
        <v>1</v>
      </c>
      <c r="EG42" s="92">
        <f t="shared" si="113"/>
        <v>3.7698166171970273</v>
      </c>
      <c r="EH42" s="92">
        <f t="shared" si="114"/>
        <v>893.2050230488338</v>
      </c>
      <c r="EI42" s="42"/>
      <c r="EJ42" s="92">
        <v>548</v>
      </c>
      <c r="EK42" s="92">
        <f t="shared" si="115"/>
        <v>8</v>
      </c>
      <c r="EL42" s="92">
        <f t="shared" si="116"/>
        <v>1.7454545454545454</v>
      </c>
      <c r="EM42" s="92">
        <f t="shared" si="117"/>
        <v>18.083885209713024</v>
      </c>
      <c r="EN42" s="92">
        <v>8</v>
      </c>
      <c r="EO42" s="92">
        <v>6</v>
      </c>
      <c r="EP42" s="92">
        <v>1</v>
      </c>
      <c r="EQ42" s="92">
        <f t="shared" si="118"/>
        <v>4.451569080288004</v>
      </c>
      <c r="ER42" s="92">
        <f t="shared" si="119"/>
        <v>1042.5347670573506</v>
      </c>
      <c r="ES42" s="42"/>
      <c r="ET42" s="73">
        <v>50</v>
      </c>
      <c r="EU42" s="73">
        <v>0</v>
      </c>
      <c r="EV42" s="73">
        <v>0</v>
      </c>
      <c r="EW42" s="73">
        <v>0</v>
      </c>
      <c r="EX42" s="73">
        <v>50</v>
      </c>
      <c r="EY42" s="73">
        <v>0</v>
      </c>
      <c r="EZ42" s="73">
        <v>0</v>
      </c>
      <c r="FA42" s="73">
        <v>0</v>
      </c>
      <c r="FB42" s="73">
        <v>0</v>
      </c>
      <c r="FC42" s="92">
        <f t="shared" si="120"/>
        <v>719.5119917575986</v>
      </c>
    </row>
    <row r="43" spans="1:159" s="4" customFormat="1" ht="17.25">
      <c r="A43" s="71">
        <v>39</v>
      </c>
      <c r="B43" s="94" t="s">
        <v>444</v>
      </c>
      <c r="C43" s="75">
        <v>1</v>
      </c>
      <c r="D43" s="94">
        <v>2</v>
      </c>
      <c r="E43" s="75">
        <v>600</v>
      </c>
      <c r="F43" s="75">
        <v>1000</v>
      </c>
      <c r="G43" s="94">
        <f t="shared" si="72"/>
        <v>600</v>
      </c>
      <c r="H43" s="94">
        <v>128</v>
      </c>
      <c r="I43" s="72">
        <f t="shared" si="123"/>
        <v>8</v>
      </c>
      <c r="J43" s="94">
        <v>8</v>
      </c>
      <c r="K43" s="94">
        <v>4</v>
      </c>
      <c r="L43" s="100" t="s">
        <v>30</v>
      </c>
      <c r="M43" s="94">
        <v>120</v>
      </c>
      <c r="N43" s="100" t="s">
        <v>30</v>
      </c>
      <c r="O43" s="94" t="s">
        <v>21</v>
      </c>
      <c r="P43" s="77">
        <f t="shared" si="121"/>
        <v>59.45325760033273</v>
      </c>
      <c r="Q43" s="78">
        <f t="shared" si="73"/>
        <v>547.9501807011276</v>
      </c>
      <c r="R43" s="78"/>
      <c r="S43" s="89">
        <v>256</v>
      </c>
      <c r="T43" s="90">
        <v>15</v>
      </c>
      <c r="U43" s="90">
        <v>37</v>
      </c>
      <c r="V43" s="94" t="s">
        <v>55</v>
      </c>
      <c r="W43" s="94" t="s">
        <v>27</v>
      </c>
      <c r="X43" s="94" t="s">
        <v>28</v>
      </c>
      <c r="Y43" s="94" t="s">
        <v>23</v>
      </c>
      <c r="Z43" s="95" t="s">
        <v>430</v>
      </c>
      <c r="AA43" s="124" t="s">
        <v>559</v>
      </c>
      <c r="AB43" s="94">
        <v>10</v>
      </c>
      <c r="AC43" s="96">
        <v>3</v>
      </c>
      <c r="AD43" s="97">
        <v>153</v>
      </c>
      <c r="AE43" s="98">
        <f>390*C43</f>
        <v>390</v>
      </c>
      <c r="AF43" s="99">
        <v>65</v>
      </c>
      <c r="AG43" s="94"/>
      <c r="AH43" s="91"/>
      <c r="AI43" s="87">
        <f t="shared" si="61"/>
        <v>9.6</v>
      </c>
      <c r="AJ43" s="91">
        <f t="shared" si="62"/>
        <v>9.6</v>
      </c>
      <c r="AK43" s="91">
        <f t="shared" si="124"/>
        <v>2.4</v>
      </c>
      <c r="AL43" s="87">
        <f t="shared" si="64"/>
        <v>12</v>
      </c>
      <c r="AM43" s="92">
        <f>H43*F43/(10500+275*AC43)</f>
        <v>11.302428256070641</v>
      </c>
      <c r="AN43" s="73">
        <f t="shared" si="74"/>
        <v>1</v>
      </c>
      <c r="AO43" s="87">
        <v>2</v>
      </c>
      <c r="AP43" s="87">
        <v>1</v>
      </c>
      <c r="AQ43" s="87">
        <v>1</v>
      </c>
      <c r="AR43" s="87">
        <v>5</v>
      </c>
      <c r="AS43" s="87">
        <v>5</v>
      </c>
      <c r="AT43" s="87">
        <v>1</v>
      </c>
      <c r="AU43" s="87">
        <v>1</v>
      </c>
      <c r="AV43" s="87">
        <v>2.8</v>
      </c>
      <c r="AW43" s="87">
        <f t="shared" si="75"/>
        <v>9.600000000000001</v>
      </c>
      <c r="AX43" s="87">
        <f t="shared" si="76"/>
        <v>6.4</v>
      </c>
      <c r="AY43" s="91">
        <f t="shared" si="69"/>
        <v>10.472727272727274</v>
      </c>
      <c r="AZ43" s="91">
        <f t="shared" si="77"/>
        <v>10.679026651216688</v>
      </c>
      <c r="BA43" s="91"/>
      <c r="BB43" s="73">
        <v>0.02</v>
      </c>
      <c r="BC43" s="73">
        <f t="shared" si="122"/>
        <v>10.465446118192354</v>
      </c>
      <c r="BD43" s="73">
        <v>4.840412061378459</v>
      </c>
      <c r="BE43" s="87">
        <v>5.680910008889502</v>
      </c>
      <c r="BF43" s="42"/>
      <c r="BG43" s="42"/>
      <c r="BH43" s="92">
        <v>511</v>
      </c>
      <c r="BI43" s="92">
        <f t="shared" si="78"/>
        <v>1.6</v>
      </c>
      <c r="BJ43" s="87">
        <f t="shared" si="79"/>
        <v>1.8</v>
      </c>
      <c r="BK43" s="87">
        <f t="shared" si="80"/>
        <v>11.302428256070641</v>
      </c>
      <c r="BL43" s="87">
        <v>8</v>
      </c>
      <c r="BM43" s="87">
        <v>6</v>
      </c>
      <c r="BN43" s="87">
        <v>1</v>
      </c>
      <c r="BO43" s="93">
        <f t="shared" si="81"/>
        <v>2.374786447019535</v>
      </c>
      <c r="BP43" s="73">
        <f t="shared" si="66"/>
        <v>523.083679077466</v>
      </c>
      <c r="BQ43" s="42"/>
      <c r="BR43" s="92">
        <v>111</v>
      </c>
      <c r="BS43" s="92">
        <f t="shared" si="82"/>
        <v>1.5</v>
      </c>
      <c r="BT43" s="87">
        <f t="shared" si="83"/>
        <v>1.8</v>
      </c>
      <c r="BU43" s="92">
        <f t="shared" si="84"/>
        <v>11.302428256070641</v>
      </c>
      <c r="BV43" s="87">
        <v>8</v>
      </c>
      <c r="BW43" s="87">
        <v>6</v>
      </c>
      <c r="BX43" s="87">
        <v>1</v>
      </c>
      <c r="BY43" s="93">
        <f t="shared" si="85"/>
        <v>2.284371537563486</v>
      </c>
      <c r="BZ43" s="92">
        <f t="shared" si="86"/>
        <v>668.3666360634035</v>
      </c>
      <c r="CA43" s="42"/>
      <c r="CB43" s="92">
        <v>122</v>
      </c>
      <c r="CC43" s="92">
        <f t="shared" si="87"/>
        <v>4</v>
      </c>
      <c r="CD43" s="87">
        <f t="shared" si="88"/>
        <v>0.8</v>
      </c>
      <c r="CE43" s="92">
        <f t="shared" si="71"/>
        <v>11.302428256070641</v>
      </c>
      <c r="CF43" s="87">
        <v>8</v>
      </c>
      <c r="CG43" s="87">
        <v>6</v>
      </c>
      <c r="CH43" s="87">
        <v>1</v>
      </c>
      <c r="CI43" s="93">
        <f t="shared" si="89"/>
        <v>2.0858370847167618</v>
      </c>
      <c r="CJ43" s="92">
        <f t="shared" si="90"/>
        <v>614.175448362372</v>
      </c>
      <c r="CK43" s="42"/>
      <c r="CL43" s="92">
        <v>388</v>
      </c>
      <c r="CM43" s="92">
        <f t="shared" si="91"/>
        <v>3</v>
      </c>
      <c r="CN43" s="92">
        <f t="shared" si="92"/>
        <v>0.9</v>
      </c>
      <c r="CO43" s="92">
        <f t="shared" si="93"/>
        <v>11.302428256070641</v>
      </c>
      <c r="CP43" s="92">
        <v>8</v>
      </c>
      <c r="CQ43" s="92">
        <v>6</v>
      </c>
      <c r="CR43" s="92">
        <v>1</v>
      </c>
      <c r="CS43" s="92">
        <f t="shared" si="94"/>
        <v>2.1227344025318033</v>
      </c>
      <c r="CT43" s="92">
        <f t="shared" si="95"/>
        <v>563.8596191876369</v>
      </c>
      <c r="CU43" s="42"/>
      <c r="CV43" s="92">
        <v>384</v>
      </c>
      <c r="CW43" s="92">
        <f t="shared" si="96"/>
        <v>3</v>
      </c>
      <c r="CX43" s="92">
        <f t="shared" si="97"/>
        <v>1.1076923076923078</v>
      </c>
      <c r="CY43" s="92">
        <f t="shared" si="98"/>
        <v>11.302428256070641</v>
      </c>
      <c r="CZ43" s="92">
        <v>8</v>
      </c>
      <c r="DA43" s="92">
        <v>6</v>
      </c>
      <c r="DB43" s="92">
        <v>1</v>
      </c>
      <c r="DC43" s="92">
        <f t="shared" si="99"/>
        <v>2.447438236442292</v>
      </c>
      <c r="DD43" s="92">
        <f t="shared" si="67"/>
        <v>586.1949859235737</v>
      </c>
      <c r="DE43" s="42"/>
      <c r="DF43" s="92">
        <v>234</v>
      </c>
      <c r="DG43" s="92">
        <f t="shared" si="100"/>
        <v>3.4285714285714284</v>
      </c>
      <c r="DH43" s="92">
        <f t="shared" si="101"/>
        <v>1.2</v>
      </c>
      <c r="DI43" s="92">
        <f t="shared" si="102"/>
        <v>11.302428256070641</v>
      </c>
      <c r="DJ43" s="92">
        <v>8</v>
      </c>
      <c r="DK43" s="92">
        <v>6</v>
      </c>
      <c r="DL43" s="92">
        <v>1</v>
      </c>
      <c r="DM43" s="92">
        <f t="shared" si="103"/>
        <v>2.6947604803550904</v>
      </c>
      <c r="DN43" s="92">
        <f t="shared" si="104"/>
        <v>641.0972857635081</v>
      </c>
      <c r="DO43" s="42"/>
      <c r="DP43" s="92">
        <v>477</v>
      </c>
      <c r="DQ43" s="92">
        <f t="shared" si="105"/>
        <v>4</v>
      </c>
      <c r="DR43" s="92">
        <f t="shared" si="106"/>
        <v>1.2</v>
      </c>
      <c r="DS43" s="92">
        <f t="shared" si="107"/>
        <v>11.302428256070641</v>
      </c>
      <c r="DT43" s="92">
        <v>8</v>
      </c>
      <c r="DU43" s="92">
        <v>6</v>
      </c>
      <c r="DV43" s="92">
        <v>1</v>
      </c>
      <c r="DW43" s="92">
        <f t="shared" si="108"/>
        <v>2.8214807263108588</v>
      </c>
      <c r="DX43" s="92">
        <f t="shared" si="109"/>
        <v>682.208364170504</v>
      </c>
      <c r="DY43" s="42"/>
      <c r="DZ43" s="92">
        <v>9999</v>
      </c>
      <c r="EA43" s="73">
        <f t="shared" si="110"/>
        <v>4</v>
      </c>
      <c r="EB43" s="73">
        <f t="shared" si="111"/>
        <v>1.2</v>
      </c>
      <c r="EC43" s="73">
        <f t="shared" si="112"/>
        <v>11.302428256070641</v>
      </c>
      <c r="ED43" s="92">
        <v>8</v>
      </c>
      <c r="EE43" s="92">
        <v>6</v>
      </c>
      <c r="EF43" s="92">
        <v>1</v>
      </c>
      <c r="EG43" s="92">
        <f t="shared" si="113"/>
        <v>2.8214807263108588</v>
      </c>
      <c r="EH43" s="92">
        <f t="shared" si="114"/>
        <v>682.208364170504</v>
      </c>
      <c r="EI43" s="42"/>
      <c r="EJ43" s="92">
        <v>548</v>
      </c>
      <c r="EK43" s="92">
        <f t="shared" si="115"/>
        <v>6</v>
      </c>
      <c r="EL43" s="92">
        <f t="shared" si="116"/>
        <v>1.309090909090909</v>
      </c>
      <c r="EM43" s="92">
        <f t="shared" si="117"/>
        <v>11.302428256070641</v>
      </c>
      <c r="EN43" s="92">
        <v>8</v>
      </c>
      <c r="EO43" s="92">
        <v>6</v>
      </c>
      <c r="EP43" s="92">
        <v>1</v>
      </c>
      <c r="EQ43" s="92">
        <f t="shared" si="118"/>
        <v>3.330478431032427</v>
      </c>
      <c r="ER43" s="92">
        <f t="shared" si="119"/>
        <v>795.9843143062108</v>
      </c>
      <c r="ES43" s="42"/>
      <c r="ET43" s="73">
        <v>50</v>
      </c>
      <c r="EU43" s="73">
        <v>0</v>
      </c>
      <c r="EV43" s="73">
        <v>0</v>
      </c>
      <c r="EW43" s="73">
        <v>0</v>
      </c>
      <c r="EX43" s="73">
        <v>50</v>
      </c>
      <c r="EY43" s="73">
        <v>0</v>
      </c>
      <c r="EZ43" s="73">
        <v>0</v>
      </c>
      <c r="FA43" s="73">
        <v>0</v>
      </c>
      <c r="FB43" s="73">
        <v>0</v>
      </c>
      <c r="FC43" s="92">
        <f t="shared" si="120"/>
        <v>547.9501807011276</v>
      </c>
    </row>
    <row r="44" spans="1:159" s="4" customFormat="1" ht="17.25">
      <c r="A44" s="71">
        <v>40</v>
      </c>
      <c r="B44" s="94" t="s">
        <v>445</v>
      </c>
      <c r="C44" s="75">
        <v>1</v>
      </c>
      <c r="D44" s="94">
        <v>2</v>
      </c>
      <c r="E44" s="75">
        <v>800</v>
      </c>
      <c r="F44" s="75">
        <v>1900</v>
      </c>
      <c r="G44" s="94">
        <f t="shared" si="72"/>
        <v>800</v>
      </c>
      <c r="H44" s="94">
        <v>64</v>
      </c>
      <c r="I44" s="72">
        <f t="shared" si="123"/>
        <v>8</v>
      </c>
      <c r="J44" s="94">
        <v>8</v>
      </c>
      <c r="K44" s="94">
        <v>4</v>
      </c>
      <c r="L44" s="94" t="s">
        <v>25</v>
      </c>
      <c r="M44" s="94">
        <v>40</v>
      </c>
      <c r="N44" s="94" t="s">
        <v>25</v>
      </c>
      <c r="O44" s="94" t="s">
        <v>21</v>
      </c>
      <c r="P44" s="77">
        <f t="shared" si="121"/>
        <v>37.09494158571749</v>
      </c>
      <c r="Q44" s="78">
        <f t="shared" si="73"/>
        <v>373.5547220401083</v>
      </c>
      <c r="R44" s="78"/>
      <c r="S44" s="89">
        <v>256</v>
      </c>
      <c r="T44" s="90">
        <v>15</v>
      </c>
      <c r="U44" s="90">
        <v>35</v>
      </c>
      <c r="V44" s="94" t="s">
        <v>441</v>
      </c>
      <c r="W44" s="94" t="s">
        <v>27</v>
      </c>
      <c r="X44" s="94" t="s">
        <v>28</v>
      </c>
      <c r="Y44" s="94" t="s">
        <v>23</v>
      </c>
      <c r="Z44" s="95">
        <v>6.7</v>
      </c>
      <c r="AA44" s="124" t="s">
        <v>559</v>
      </c>
      <c r="AB44" s="94">
        <v>10.1</v>
      </c>
      <c r="AC44" s="96">
        <v>3</v>
      </c>
      <c r="AD44" s="97">
        <v>66.5</v>
      </c>
      <c r="AE44" s="98">
        <f>181*C44</f>
        <v>181</v>
      </c>
      <c r="AF44" s="99">
        <v>55</v>
      </c>
      <c r="AG44" s="94"/>
      <c r="AH44" s="91"/>
      <c r="AI44" s="87">
        <f t="shared" si="61"/>
        <v>12.8</v>
      </c>
      <c r="AJ44" s="91">
        <f t="shared" si="62"/>
        <v>12.8</v>
      </c>
      <c r="AK44" s="91">
        <f t="shared" si="124"/>
        <v>3.2</v>
      </c>
      <c r="AL44" s="87">
        <f t="shared" si="64"/>
        <v>5.333333333333333</v>
      </c>
      <c r="AM44" s="92">
        <f>H44*F44/(8750+250*AC44)</f>
        <v>12.8</v>
      </c>
      <c r="AN44" s="73">
        <f t="shared" si="74"/>
        <v>1</v>
      </c>
      <c r="AO44" s="87">
        <v>2</v>
      </c>
      <c r="AP44" s="87">
        <v>1</v>
      </c>
      <c r="AQ44" s="87">
        <v>1</v>
      </c>
      <c r="AR44" s="87">
        <v>5</v>
      </c>
      <c r="AS44" s="87">
        <v>5</v>
      </c>
      <c r="AT44" s="87">
        <v>1</v>
      </c>
      <c r="AU44" s="87">
        <v>1</v>
      </c>
      <c r="AV44" s="87">
        <v>2.8</v>
      </c>
      <c r="AW44" s="87">
        <f t="shared" si="75"/>
        <v>12.8</v>
      </c>
      <c r="AX44" s="87">
        <f t="shared" si="76"/>
        <v>8.533333333333335</v>
      </c>
      <c r="AY44" s="91">
        <f t="shared" si="69"/>
        <v>5.688888888888889</v>
      </c>
      <c r="AZ44" s="91">
        <f t="shared" si="77"/>
        <v>6.663013698630137</v>
      </c>
      <c r="BA44" s="91"/>
      <c r="BB44" s="73">
        <v>0.02</v>
      </c>
      <c r="BC44" s="73">
        <f t="shared" si="122"/>
        <v>6.529753424657534</v>
      </c>
      <c r="BD44" s="73">
        <v>4.840412061378459</v>
      </c>
      <c r="BE44" s="87">
        <v>5.680910008889502</v>
      </c>
      <c r="BF44" s="42"/>
      <c r="BG44" s="42"/>
      <c r="BH44" s="92">
        <v>511</v>
      </c>
      <c r="BI44" s="92">
        <f t="shared" si="78"/>
        <v>2.1333333333333333</v>
      </c>
      <c r="BJ44" s="87">
        <f t="shared" si="79"/>
        <v>0.8</v>
      </c>
      <c r="BK44" s="87">
        <f t="shared" si="80"/>
        <v>12.8</v>
      </c>
      <c r="BL44" s="87">
        <v>8</v>
      </c>
      <c r="BM44" s="87">
        <v>6</v>
      </c>
      <c r="BN44" s="87">
        <v>1</v>
      </c>
      <c r="BO44" s="93">
        <f t="shared" si="81"/>
        <v>1.7655172413793103</v>
      </c>
      <c r="BP44" s="73">
        <f t="shared" si="66"/>
        <v>394.6900707400524</v>
      </c>
      <c r="BQ44" s="42"/>
      <c r="BR44" s="92">
        <v>111</v>
      </c>
      <c r="BS44" s="92">
        <f t="shared" si="82"/>
        <v>2</v>
      </c>
      <c r="BT44" s="87">
        <f t="shared" si="83"/>
        <v>0.8</v>
      </c>
      <c r="BU44" s="92">
        <f t="shared" si="84"/>
        <v>12.8</v>
      </c>
      <c r="BV44" s="87">
        <v>8</v>
      </c>
      <c r="BW44" s="87">
        <v>6</v>
      </c>
      <c r="BX44" s="87">
        <v>1</v>
      </c>
      <c r="BY44" s="93">
        <f t="shared" si="85"/>
        <v>1.727395411605938</v>
      </c>
      <c r="BZ44" s="92">
        <f t="shared" si="86"/>
        <v>515.390052703475</v>
      </c>
      <c r="CA44" s="42"/>
      <c r="CB44" s="92">
        <v>122</v>
      </c>
      <c r="CC44" s="92">
        <f t="shared" si="87"/>
        <v>5.333333333333333</v>
      </c>
      <c r="CD44" s="87">
        <f t="shared" si="88"/>
        <v>0.35555555555555557</v>
      </c>
      <c r="CE44" s="92">
        <f t="shared" si="71"/>
        <v>12.8</v>
      </c>
      <c r="CF44" s="87">
        <v>8</v>
      </c>
      <c r="CG44" s="87">
        <v>6</v>
      </c>
      <c r="CH44" s="87">
        <v>1</v>
      </c>
      <c r="CI44" s="93">
        <f t="shared" si="89"/>
        <v>1.083827265029636</v>
      </c>
      <c r="CJ44" s="92">
        <f t="shared" si="90"/>
        <v>334.0985269505476</v>
      </c>
      <c r="CK44" s="42"/>
      <c r="CL44" s="92">
        <v>388</v>
      </c>
      <c r="CM44" s="92">
        <f t="shared" si="91"/>
        <v>4</v>
      </c>
      <c r="CN44" s="92">
        <f t="shared" si="92"/>
        <v>0.4</v>
      </c>
      <c r="CO44" s="92">
        <f t="shared" si="93"/>
        <v>12.8</v>
      </c>
      <c r="CP44" s="92">
        <v>8</v>
      </c>
      <c r="CQ44" s="92">
        <v>6</v>
      </c>
      <c r="CR44" s="92">
        <v>1</v>
      </c>
      <c r="CS44" s="92">
        <f t="shared" si="94"/>
        <v>1.171088746569076</v>
      </c>
      <c r="CT44" s="92">
        <f t="shared" si="95"/>
        <v>324.29970416767634</v>
      </c>
      <c r="CU44" s="42"/>
      <c r="CV44" s="92">
        <v>384</v>
      </c>
      <c r="CW44" s="92">
        <f t="shared" si="96"/>
        <v>4</v>
      </c>
      <c r="CX44" s="92">
        <f t="shared" si="97"/>
        <v>0.49230769230769234</v>
      </c>
      <c r="CY44" s="92">
        <f t="shared" si="98"/>
        <v>12.8</v>
      </c>
      <c r="CZ44" s="92">
        <v>8</v>
      </c>
      <c r="DA44" s="92">
        <v>6</v>
      </c>
      <c r="DB44" s="92">
        <v>1</v>
      </c>
      <c r="DC44" s="92">
        <f t="shared" si="99"/>
        <v>1.4019715224534501</v>
      </c>
      <c r="DD44" s="92">
        <f t="shared" si="67"/>
        <v>349.1464487585124</v>
      </c>
      <c r="DE44" s="42"/>
      <c r="DF44" s="92">
        <v>234</v>
      </c>
      <c r="DG44" s="92">
        <f t="shared" si="100"/>
        <v>4.571428571428571</v>
      </c>
      <c r="DH44" s="92">
        <f t="shared" si="101"/>
        <v>0.5333333333333333</v>
      </c>
      <c r="DI44" s="92">
        <f t="shared" si="102"/>
        <v>12.8</v>
      </c>
      <c r="DJ44" s="92">
        <v>8</v>
      </c>
      <c r="DK44" s="92">
        <v>6</v>
      </c>
      <c r="DL44" s="92">
        <v>1</v>
      </c>
      <c r="DM44" s="92">
        <f t="shared" si="103"/>
        <v>1.5292712066905616</v>
      </c>
      <c r="DN44" s="92">
        <f t="shared" si="104"/>
        <v>378.5391270582963</v>
      </c>
      <c r="DO44" s="42"/>
      <c r="DP44" s="92">
        <v>477</v>
      </c>
      <c r="DQ44" s="92">
        <f t="shared" si="105"/>
        <v>5.333333333333333</v>
      </c>
      <c r="DR44" s="92">
        <f t="shared" si="106"/>
        <v>0.5333333333333333</v>
      </c>
      <c r="DS44" s="92">
        <f t="shared" si="107"/>
        <v>12.8</v>
      </c>
      <c r="DT44" s="92">
        <v>8</v>
      </c>
      <c r="DU44" s="92">
        <v>6</v>
      </c>
      <c r="DV44" s="92">
        <v>1</v>
      </c>
      <c r="DW44" s="92">
        <f t="shared" si="108"/>
        <v>1.5590742996345919</v>
      </c>
      <c r="DX44" s="92">
        <f t="shared" si="109"/>
        <v>392.951981982827</v>
      </c>
      <c r="DY44" s="42"/>
      <c r="DZ44" s="92">
        <v>9999</v>
      </c>
      <c r="EA44" s="73">
        <f t="shared" si="110"/>
        <v>5.333333333333333</v>
      </c>
      <c r="EB44" s="73">
        <f t="shared" si="111"/>
        <v>0.5333333333333333</v>
      </c>
      <c r="EC44" s="73">
        <f t="shared" si="112"/>
        <v>12.8</v>
      </c>
      <c r="ED44" s="92">
        <v>8</v>
      </c>
      <c r="EE44" s="92">
        <v>6</v>
      </c>
      <c r="EF44" s="92">
        <v>1</v>
      </c>
      <c r="EG44" s="92">
        <f t="shared" si="113"/>
        <v>1.5590742996345919</v>
      </c>
      <c r="EH44" s="92">
        <f t="shared" si="114"/>
        <v>392.951981982827</v>
      </c>
      <c r="EI44" s="42"/>
      <c r="EJ44" s="92">
        <v>548</v>
      </c>
      <c r="EK44" s="92">
        <f t="shared" si="115"/>
        <v>8</v>
      </c>
      <c r="EL44" s="92">
        <f t="shared" si="116"/>
        <v>0.5818181818181818</v>
      </c>
      <c r="EM44" s="92">
        <f t="shared" si="117"/>
        <v>12.8</v>
      </c>
      <c r="EN44" s="92">
        <v>8</v>
      </c>
      <c r="EO44" s="92">
        <v>6</v>
      </c>
      <c r="EP44" s="92">
        <v>1</v>
      </c>
      <c r="EQ44" s="92">
        <f t="shared" si="118"/>
        <v>1.755829903978052</v>
      </c>
      <c r="ER44" s="92">
        <f t="shared" si="119"/>
        <v>438.87618833843686</v>
      </c>
      <c r="ES44" s="42"/>
      <c r="ET44" s="73">
        <v>50</v>
      </c>
      <c r="EU44" s="73">
        <v>0</v>
      </c>
      <c r="EV44" s="73">
        <v>0</v>
      </c>
      <c r="EW44" s="73">
        <v>0</v>
      </c>
      <c r="EX44" s="73">
        <v>50</v>
      </c>
      <c r="EY44" s="73">
        <v>0</v>
      </c>
      <c r="EZ44" s="73">
        <v>0</v>
      </c>
      <c r="FA44" s="73">
        <v>0</v>
      </c>
      <c r="FB44" s="73">
        <v>0</v>
      </c>
      <c r="FC44" s="92">
        <f t="shared" si="120"/>
        <v>373.5547220401083</v>
      </c>
    </row>
    <row r="45" spans="1:159" s="4" customFormat="1" ht="17.25">
      <c r="A45" s="71">
        <v>41</v>
      </c>
      <c r="B45" s="94" t="s">
        <v>446</v>
      </c>
      <c r="C45" s="75">
        <v>1</v>
      </c>
      <c r="D45" s="94">
        <v>2</v>
      </c>
      <c r="E45" s="75">
        <v>600</v>
      </c>
      <c r="F45" s="75">
        <v>1000</v>
      </c>
      <c r="G45" s="94">
        <f t="shared" si="72"/>
        <v>600</v>
      </c>
      <c r="H45" s="94">
        <v>64</v>
      </c>
      <c r="I45" s="72">
        <f t="shared" si="123"/>
        <v>8</v>
      </c>
      <c r="J45" s="94">
        <v>8</v>
      </c>
      <c r="K45" s="94">
        <v>4</v>
      </c>
      <c r="L45" s="94" t="s">
        <v>25</v>
      </c>
      <c r="M45" s="94">
        <v>40</v>
      </c>
      <c r="N45" s="94" t="s">
        <v>25</v>
      </c>
      <c r="O45" s="94" t="s">
        <v>21</v>
      </c>
      <c r="P45" s="77">
        <f t="shared" si="121"/>
        <v>26.418836446413437</v>
      </c>
      <c r="Q45" s="78">
        <f t="shared" si="73"/>
        <v>284.3672037961713</v>
      </c>
      <c r="R45" s="78"/>
      <c r="S45" s="89">
        <v>256</v>
      </c>
      <c r="T45" s="90">
        <v>15</v>
      </c>
      <c r="U45" s="90">
        <v>25</v>
      </c>
      <c r="V45" s="94" t="s">
        <v>441</v>
      </c>
      <c r="W45" s="94" t="s">
        <v>27</v>
      </c>
      <c r="X45" s="94" t="s">
        <v>28</v>
      </c>
      <c r="Y45" s="94" t="s">
        <v>23</v>
      </c>
      <c r="Z45" s="95">
        <v>6.7</v>
      </c>
      <c r="AA45" s="123" t="s">
        <v>556</v>
      </c>
      <c r="AB45" s="94">
        <v>10.1</v>
      </c>
      <c r="AC45" s="96">
        <v>2</v>
      </c>
      <c r="AD45" s="97">
        <v>66.5</v>
      </c>
      <c r="AE45" s="98">
        <f>181*C45</f>
        <v>181</v>
      </c>
      <c r="AF45" s="99">
        <v>55</v>
      </c>
      <c r="AG45" s="94"/>
      <c r="AH45" s="91"/>
      <c r="AI45" s="87">
        <f t="shared" si="61"/>
        <v>9.6</v>
      </c>
      <c r="AJ45" s="91">
        <f t="shared" si="62"/>
        <v>9.6</v>
      </c>
      <c r="AK45" s="91">
        <f t="shared" si="124"/>
        <v>2.4</v>
      </c>
      <c r="AL45" s="87">
        <f t="shared" si="64"/>
        <v>4</v>
      </c>
      <c r="AM45" s="92">
        <f>H45*F45/(8750+250*AC45)</f>
        <v>6.918918918918919</v>
      </c>
      <c r="AN45" s="73">
        <f t="shared" si="74"/>
        <v>1</v>
      </c>
      <c r="AO45" s="87">
        <v>2</v>
      </c>
      <c r="AP45" s="87">
        <v>1</v>
      </c>
      <c r="AQ45" s="87">
        <v>1</v>
      </c>
      <c r="AR45" s="87">
        <v>5</v>
      </c>
      <c r="AS45" s="87">
        <v>5</v>
      </c>
      <c r="AT45" s="87">
        <v>1</v>
      </c>
      <c r="AU45" s="87">
        <v>1</v>
      </c>
      <c r="AV45" s="87">
        <v>2.8</v>
      </c>
      <c r="AW45" s="87">
        <f t="shared" si="75"/>
        <v>9.600000000000001</v>
      </c>
      <c r="AX45" s="87">
        <f t="shared" si="76"/>
        <v>6.4</v>
      </c>
      <c r="AY45" s="91">
        <f t="shared" si="69"/>
        <v>4.2666666666666675</v>
      </c>
      <c r="AZ45" s="91">
        <f t="shared" si="77"/>
        <v>4.745365853658537</v>
      </c>
      <c r="BA45" s="91"/>
      <c r="BB45" s="73">
        <v>0.02</v>
      </c>
      <c r="BC45" s="73">
        <f t="shared" si="122"/>
        <v>4.650458536585367</v>
      </c>
      <c r="BD45" s="73">
        <v>4.840412061378459</v>
      </c>
      <c r="BE45" s="87">
        <v>5.680910008889502</v>
      </c>
      <c r="BF45" s="42"/>
      <c r="BG45" s="42"/>
      <c r="BH45" s="92">
        <v>511</v>
      </c>
      <c r="BI45" s="92">
        <f t="shared" si="78"/>
        <v>1.6</v>
      </c>
      <c r="BJ45" s="87">
        <f t="shared" si="79"/>
        <v>0.6</v>
      </c>
      <c r="BK45" s="87">
        <f t="shared" si="80"/>
        <v>6.918918918918919</v>
      </c>
      <c r="BL45" s="87">
        <v>8</v>
      </c>
      <c r="BM45" s="87">
        <v>6</v>
      </c>
      <c r="BN45" s="87">
        <v>1</v>
      </c>
      <c r="BO45" s="93">
        <f t="shared" si="81"/>
        <v>1.3206087180809905</v>
      </c>
      <c r="BP45" s="73">
        <f t="shared" si="66"/>
        <v>299.545836804475</v>
      </c>
      <c r="BQ45" s="42"/>
      <c r="BR45" s="92">
        <v>111</v>
      </c>
      <c r="BS45" s="92">
        <f t="shared" si="82"/>
        <v>1.5</v>
      </c>
      <c r="BT45" s="87">
        <f t="shared" si="83"/>
        <v>0.6</v>
      </c>
      <c r="BU45" s="92">
        <f t="shared" si="84"/>
        <v>6.918918918918919</v>
      </c>
      <c r="BV45" s="87">
        <v>8</v>
      </c>
      <c r="BW45" s="87">
        <v>6</v>
      </c>
      <c r="BX45" s="87">
        <v>1</v>
      </c>
      <c r="BY45" s="93">
        <f t="shared" si="85"/>
        <v>1.2921679145284766</v>
      </c>
      <c r="BZ45" s="92">
        <f t="shared" si="86"/>
        <v>393.44888610479614</v>
      </c>
      <c r="CA45" s="42"/>
      <c r="CB45" s="92">
        <v>122</v>
      </c>
      <c r="CC45" s="92">
        <f t="shared" si="87"/>
        <v>4</v>
      </c>
      <c r="CD45" s="87">
        <f t="shared" si="88"/>
        <v>0.26666666666666666</v>
      </c>
      <c r="CE45" s="92">
        <f t="shared" si="71"/>
        <v>6.918918918918919</v>
      </c>
      <c r="CF45" s="87">
        <v>8</v>
      </c>
      <c r="CG45" s="87">
        <v>6</v>
      </c>
      <c r="CH45" s="87">
        <v>1</v>
      </c>
      <c r="CI45" s="93">
        <f t="shared" si="89"/>
        <v>0.8115390711681725</v>
      </c>
      <c r="CJ45" s="92">
        <f t="shared" si="90"/>
        <v>255.2815728910087</v>
      </c>
      <c r="CK45" s="42"/>
      <c r="CL45" s="92">
        <v>388</v>
      </c>
      <c r="CM45" s="92">
        <f t="shared" si="91"/>
        <v>3</v>
      </c>
      <c r="CN45" s="92">
        <f t="shared" si="92"/>
        <v>0.3</v>
      </c>
      <c r="CO45" s="92">
        <f t="shared" si="93"/>
        <v>6.918918918918919</v>
      </c>
      <c r="CP45" s="92">
        <v>8</v>
      </c>
      <c r="CQ45" s="92">
        <v>6</v>
      </c>
      <c r="CR45" s="92">
        <v>1</v>
      </c>
      <c r="CS45" s="92">
        <f t="shared" si="94"/>
        <v>0.8767623722815229</v>
      </c>
      <c r="CT45" s="92">
        <f t="shared" si="95"/>
        <v>247.76399849898107</v>
      </c>
      <c r="CU45" s="42"/>
      <c r="CV45" s="92">
        <v>384</v>
      </c>
      <c r="CW45" s="92">
        <f t="shared" si="96"/>
        <v>3</v>
      </c>
      <c r="CX45" s="92">
        <f t="shared" si="97"/>
        <v>0.36923076923076925</v>
      </c>
      <c r="CY45" s="92">
        <f t="shared" si="98"/>
        <v>6.918918918918919</v>
      </c>
      <c r="CZ45" s="92">
        <v>8</v>
      </c>
      <c r="DA45" s="92">
        <v>6</v>
      </c>
      <c r="DB45" s="92">
        <v>1</v>
      </c>
      <c r="DC45" s="92">
        <f t="shared" si="99"/>
        <v>1.049251998087301</v>
      </c>
      <c r="DD45" s="92">
        <f t="shared" si="67"/>
        <v>266.6603218786131</v>
      </c>
      <c r="DE45" s="42"/>
      <c r="DF45" s="92">
        <v>234</v>
      </c>
      <c r="DG45" s="92">
        <f t="shared" si="100"/>
        <v>3.4285714285714284</v>
      </c>
      <c r="DH45" s="92">
        <f t="shared" si="101"/>
        <v>0.4</v>
      </c>
      <c r="DI45" s="92">
        <f t="shared" si="102"/>
        <v>6.918918918918919</v>
      </c>
      <c r="DJ45" s="92">
        <v>8</v>
      </c>
      <c r="DK45" s="92">
        <v>6</v>
      </c>
      <c r="DL45" s="92">
        <v>1</v>
      </c>
      <c r="DM45" s="92">
        <f t="shared" si="103"/>
        <v>1.1443045518885495</v>
      </c>
      <c r="DN45" s="92">
        <f t="shared" si="104"/>
        <v>289.05726699593754</v>
      </c>
      <c r="DO45" s="42"/>
      <c r="DP45" s="92">
        <v>477</v>
      </c>
      <c r="DQ45" s="92">
        <f t="shared" si="105"/>
        <v>4</v>
      </c>
      <c r="DR45" s="92">
        <f t="shared" si="106"/>
        <v>0.4</v>
      </c>
      <c r="DS45" s="92">
        <f t="shared" si="107"/>
        <v>6.918918918918919</v>
      </c>
      <c r="DT45" s="92">
        <v>8</v>
      </c>
      <c r="DU45" s="92">
        <v>6</v>
      </c>
      <c r="DV45" s="92">
        <v>1</v>
      </c>
      <c r="DW45" s="92">
        <f t="shared" si="108"/>
        <v>1.166552745500114</v>
      </c>
      <c r="DX45" s="92">
        <f t="shared" si="109"/>
        <v>300.0505460738398</v>
      </c>
      <c r="DY45" s="42"/>
      <c r="DZ45" s="92">
        <v>9999</v>
      </c>
      <c r="EA45" s="73">
        <f t="shared" si="110"/>
        <v>4</v>
      </c>
      <c r="EB45" s="73">
        <f t="shared" si="111"/>
        <v>0.4</v>
      </c>
      <c r="EC45" s="73">
        <f t="shared" si="112"/>
        <v>6.918918918918919</v>
      </c>
      <c r="ED45" s="92">
        <v>8</v>
      </c>
      <c r="EE45" s="92">
        <v>6</v>
      </c>
      <c r="EF45" s="92">
        <v>1</v>
      </c>
      <c r="EG45" s="92">
        <f t="shared" si="113"/>
        <v>1.166552745500114</v>
      </c>
      <c r="EH45" s="92">
        <f t="shared" si="114"/>
        <v>300.0505460738398</v>
      </c>
      <c r="EI45" s="42"/>
      <c r="EJ45" s="92">
        <v>548</v>
      </c>
      <c r="EK45" s="92">
        <f t="shared" si="115"/>
        <v>6</v>
      </c>
      <c r="EL45" s="92">
        <f t="shared" si="116"/>
        <v>0.43636363636363634</v>
      </c>
      <c r="EM45" s="92">
        <f t="shared" si="117"/>
        <v>6.918918918918919</v>
      </c>
      <c r="EN45" s="92">
        <v>8</v>
      </c>
      <c r="EO45" s="92">
        <v>6</v>
      </c>
      <c r="EP45" s="92">
        <v>1</v>
      </c>
      <c r="EQ45" s="92">
        <f t="shared" si="118"/>
        <v>1.3133817870884994</v>
      </c>
      <c r="ER45" s="92">
        <f t="shared" si="119"/>
        <v>335.024808987153</v>
      </c>
      <c r="ES45" s="42"/>
      <c r="ET45" s="73">
        <v>50</v>
      </c>
      <c r="EU45" s="73">
        <v>0</v>
      </c>
      <c r="EV45" s="73">
        <v>0</v>
      </c>
      <c r="EW45" s="73">
        <v>0</v>
      </c>
      <c r="EX45" s="73">
        <v>50</v>
      </c>
      <c r="EY45" s="73">
        <v>0</v>
      </c>
      <c r="EZ45" s="73">
        <v>0</v>
      </c>
      <c r="FA45" s="73">
        <v>0</v>
      </c>
      <c r="FB45" s="73">
        <v>0</v>
      </c>
      <c r="FC45" s="92">
        <f t="shared" si="120"/>
        <v>284.3672037961713</v>
      </c>
    </row>
    <row r="46" spans="1:159" s="4" customFormat="1" ht="17.25">
      <c r="A46" s="71">
        <v>42</v>
      </c>
      <c r="B46" s="94" t="s">
        <v>447</v>
      </c>
      <c r="C46" s="75">
        <v>1</v>
      </c>
      <c r="D46" s="94">
        <v>2</v>
      </c>
      <c r="E46" s="75">
        <v>700</v>
      </c>
      <c r="F46" s="75">
        <v>1600</v>
      </c>
      <c r="G46" s="94">
        <f t="shared" si="72"/>
        <v>700</v>
      </c>
      <c r="H46" s="94">
        <v>64</v>
      </c>
      <c r="I46" s="72">
        <f t="shared" si="123"/>
        <v>4</v>
      </c>
      <c r="J46" s="94">
        <v>4</v>
      </c>
      <c r="K46" s="94">
        <v>4</v>
      </c>
      <c r="L46" s="100" t="s">
        <v>30</v>
      </c>
      <c r="M46" s="94">
        <v>40</v>
      </c>
      <c r="N46" s="100" t="s">
        <v>30</v>
      </c>
      <c r="O46" s="94" t="s">
        <v>21</v>
      </c>
      <c r="P46" s="77">
        <f t="shared" si="121"/>
        <v>29.888631123217895</v>
      </c>
      <c r="Q46" s="78">
        <f t="shared" si="73"/>
        <v>329.0144281893939</v>
      </c>
      <c r="R46" s="78"/>
      <c r="S46" s="89">
        <v>256</v>
      </c>
      <c r="T46" s="90" t="s">
        <v>448</v>
      </c>
      <c r="U46" s="90">
        <v>20</v>
      </c>
      <c r="V46" s="94" t="s">
        <v>55</v>
      </c>
      <c r="W46" s="94" t="s">
        <v>27</v>
      </c>
      <c r="X46" s="94" t="s">
        <v>28</v>
      </c>
      <c r="Y46" s="94" t="s">
        <v>23</v>
      </c>
      <c r="Z46" s="95">
        <v>6.7</v>
      </c>
      <c r="AA46" s="124" t="s">
        <v>559</v>
      </c>
      <c r="AB46" s="94">
        <v>10</v>
      </c>
      <c r="AC46" s="96">
        <v>3</v>
      </c>
      <c r="AD46" s="97">
        <v>82.4</v>
      </c>
      <c r="AE46" s="98">
        <f>180*C46</f>
        <v>180</v>
      </c>
      <c r="AF46" s="99">
        <v>65</v>
      </c>
      <c r="AG46" s="94"/>
      <c r="AH46" s="91"/>
      <c r="AI46" s="87">
        <f t="shared" si="61"/>
        <v>5.6</v>
      </c>
      <c r="AJ46" s="91">
        <f t="shared" si="62"/>
        <v>5.6</v>
      </c>
      <c r="AK46" s="91">
        <f t="shared" si="124"/>
        <v>2.8</v>
      </c>
      <c r="AL46" s="87">
        <f t="shared" si="64"/>
        <v>4.666666666666667</v>
      </c>
      <c r="AM46" s="92">
        <f>H46*F46/(10500+275*AC46)</f>
        <v>9.041942604856512</v>
      </c>
      <c r="AN46" s="73">
        <f t="shared" si="74"/>
        <v>1</v>
      </c>
      <c r="AO46" s="87">
        <v>2</v>
      </c>
      <c r="AP46" s="87">
        <v>1</v>
      </c>
      <c r="AQ46" s="87">
        <v>1</v>
      </c>
      <c r="AR46" s="87">
        <v>5</v>
      </c>
      <c r="AS46" s="87">
        <v>5</v>
      </c>
      <c r="AT46" s="87">
        <v>1</v>
      </c>
      <c r="AU46" s="87">
        <v>1</v>
      </c>
      <c r="AV46" s="87">
        <v>2.8</v>
      </c>
      <c r="AW46" s="87">
        <f t="shared" si="75"/>
        <v>5.6</v>
      </c>
      <c r="AX46" s="87">
        <f t="shared" si="76"/>
        <v>4.799999999999999</v>
      </c>
      <c r="AY46" s="91">
        <f t="shared" si="69"/>
        <v>4.688372093023256</v>
      </c>
      <c r="AZ46" s="91">
        <f t="shared" si="77"/>
        <v>5.368612271490438</v>
      </c>
      <c r="BA46" s="91"/>
      <c r="BB46" s="73">
        <v>0.02</v>
      </c>
      <c r="BC46" s="73">
        <f t="shared" si="122"/>
        <v>5.261240026060629</v>
      </c>
      <c r="BD46" s="73">
        <v>4.840412061378459</v>
      </c>
      <c r="BE46" s="87">
        <v>5.680910008889502</v>
      </c>
      <c r="BF46" s="42"/>
      <c r="BG46" s="42"/>
      <c r="BH46" s="92">
        <v>511</v>
      </c>
      <c r="BI46" s="92">
        <f t="shared" si="78"/>
        <v>1.8666666666666667</v>
      </c>
      <c r="BJ46" s="87">
        <f t="shared" si="79"/>
        <v>0.7</v>
      </c>
      <c r="BK46" s="87">
        <f t="shared" si="80"/>
        <v>9.041942604856512</v>
      </c>
      <c r="BL46" s="87">
        <v>8</v>
      </c>
      <c r="BM46" s="87">
        <v>6</v>
      </c>
      <c r="BN46" s="87">
        <v>1</v>
      </c>
      <c r="BO46" s="93">
        <f t="shared" si="81"/>
        <v>1.5422889586375874</v>
      </c>
      <c r="BP46" s="73">
        <f t="shared" si="66"/>
        <v>347.12452461587793</v>
      </c>
      <c r="BQ46" s="42"/>
      <c r="BR46" s="92">
        <v>111</v>
      </c>
      <c r="BS46" s="92">
        <f t="shared" si="82"/>
        <v>1.75</v>
      </c>
      <c r="BT46" s="87">
        <f t="shared" si="83"/>
        <v>0.7</v>
      </c>
      <c r="BU46" s="92">
        <f t="shared" si="84"/>
        <v>9.041942604856512</v>
      </c>
      <c r="BV46" s="87">
        <v>8</v>
      </c>
      <c r="BW46" s="87">
        <v>6</v>
      </c>
      <c r="BX46" s="87">
        <v>1</v>
      </c>
      <c r="BY46" s="93">
        <f t="shared" si="85"/>
        <v>1.509040718099594</v>
      </c>
      <c r="BZ46" s="92">
        <f t="shared" si="86"/>
        <v>454.5206144866187</v>
      </c>
      <c r="CA46" s="42"/>
      <c r="CB46" s="92">
        <v>122</v>
      </c>
      <c r="CC46" s="92">
        <f t="shared" si="87"/>
        <v>4.666666666666667</v>
      </c>
      <c r="CD46" s="87">
        <f t="shared" si="88"/>
        <v>0.3111111111111111</v>
      </c>
      <c r="CE46" s="92">
        <f t="shared" si="71"/>
        <v>9.041942604856512</v>
      </c>
      <c r="CF46" s="87">
        <v>8</v>
      </c>
      <c r="CG46" s="87">
        <v>6</v>
      </c>
      <c r="CH46" s="87">
        <v>1</v>
      </c>
      <c r="CI46" s="93">
        <f t="shared" si="89"/>
        <v>0.947391550729163</v>
      </c>
      <c r="CJ46" s="92">
        <f t="shared" si="90"/>
        <v>294.8045183569719</v>
      </c>
      <c r="CK46" s="42"/>
      <c r="CL46" s="92">
        <v>388</v>
      </c>
      <c r="CM46" s="92">
        <f t="shared" si="91"/>
        <v>3.5</v>
      </c>
      <c r="CN46" s="92">
        <f t="shared" si="92"/>
        <v>0.35</v>
      </c>
      <c r="CO46" s="92">
        <f t="shared" si="93"/>
        <v>9.041942604856512</v>
      </c>
      <c r="CP46" s="92">
        <v>8</v>
      </c>
      <c r="CQ46" s="92">
        <v>6</v>
      </c>
      <c r="CR46" s="92">
        <v>1</v>
      </c>
      <c r="CS46" s="92">
        <f t="shared" si="94"/>
        <v>1.0235850824754966</v>
      </c>
      <c r="CT46" s="92">
        <f t="shared" si="95"/>
        <v>286.1365278918244</v>
      </c>
      <c r="CU46" s="42"/>
      <c r="CV46" s="92">
        <v>384</v>
      </c>
      <c r="CW46" s="92">
        <f t="shared" si="96"/>
        <v>3.5</v>
      </c>
      <c r="CX46" s="92">
        <f t="shared" si="97"/>
        <v>0.4307692307692308</v>
      </c>
      <c r="CY46" s="92">
        <f t="shared" si="98"/>
        <v>9.041942604856512</v>
      </c>
      <c r="CZ46" s="92">
        <v>8</v>
      </c>
      <c r="DA46" s="92">
        <v>6</v>
      </c>
      <c r="DB46" s="92">
        <v>1</v>
      </c>
      <c r="DC46" s="92">
        <f t="shared" si="99"/>
        <v>1.2251237536506527</v>
      </c>
      <c r="DD46" s="92">
        <f t="shared" si="67"/>
        <v>307.9977497933419</v>
      </c>
      <c r="DE46" s="42"/>
      <c r="DF46" s="92">
        <v>234</v>
      </c>
      <c r="DG46" s="92">
        <f t="shared" si="100"/>
        <v>4</v>
      </c>
      <c r="DH46" s="92">
        <f t="shared" si="101"/>
        <v>0.4666666666666667</v>
      </c>
      <c r="DI46" s="92">
        <f t="shared" si="102"/>
        <v>9.041942604856512</v>
      </c>
      <c r="DJ46" s="92">
        <v>8</v>
      </c>
      <c r="DK46" s="92">
        <v>6</v>
      </c>
      <c r="DL46" s="92">
        <v>1</v>
      </c>
      <c r="DM46" s="92">
        <f t="shared" si="103"/>
        <v>1.336207197865573</v>
      </c>
      <c r="DN46" s="92">
        <f t="shared" si="104"/>
        <v>333.8895453971374</v>
      </c>
      <c r="DO46" s="42"/>
      <c r="DP46" s="92">
        <v>477</v>
      </c>
      <c r="DQ46" s="92">
        <f t="shared" si="105"/>
        <v>4.666666666666667</v>
      </c>
      <c r="DR46" s="92">
        <f t="shared" si="106"/>
        <v>0.4666666666666667</v>
      </c>
      <c r="DS46" s="92">
        <f t="shared" si="107"/>
        <v>9.041942604856512</v>
      </c>
      <c r="DT46" s="92">
        <v>8</v>
      </c>
      <c r="DU46" s="92">
        <v>6</v>
      </c>
      <c r="DV46" s="92">
        <v>1</v>
      </c>
      <c r="DW46" s="92">
        <f t="shared" si="108"/>
        <v>1.3622099804495882</v>
      </c>
      <c r="DX46" s="92">
        <f t="shared" si="109"/>
        <v>346.5934266513153</v>
      </c>
      <c r="DY46" s="42"/>
      <c r="DZ46" s="92">
        <v>9999</v>
      </c>
      <c r="EA46" s="73">
        <f t="shared" si="110"/>
        <v>4.666666666666667</v>
      </c>
      <c r="EB46" s="73">
        <f t="shared" si="111"/>
        <v>0.4666666666666667</v>
      </c>
      <c r="EC46" s="73">
        <f t="shared" si="112"/>
        <v>9.041942604856512</v>
      </c>
      <c r="ED46" s="92">
        <v>8</v>
      </c>
      <c r="EE46" s="92">
        <v>6</v>
      </c>
      <c r="EF46" s="92">
        <v>1</v>
      </c>
      <c r="EG46" s="92">
        <f t="shared" si="113"/>
        <v>1.3622099804495882</v>
      </c>
      <c r="EH46" s="92">
        <f t="shared" si="114"/>
        <v>346.5934266513153</v>
      </c>
      <c r="EI46" s="42"/>
      <c r="EJ46" s="92">
        <v>548</v>
      </c>
      <c r="EK46" s="92">
        <f t="shared" si="115"/>
        <v>7</v>
      </c>
      <c r="EL46" s="92">
        <f t="shared" si="116"/>
        <v>0.509090909090909</v>
      </c>
      <c r="EM46" s="92">
        <f t="shared" si="117"/>
        <v>9.041942604856512</v>
      </c>
      <c r="EN46" s="92">
        <v>8</v>
      </c>
      <c r="EO46" s="92">
        <v>6</v>
      </c>
      <c r="EP46" s="92">
        <v>1</v>
      </c>
      <c r="EQ46" s="92">
        <f t="shared" si="118"/>
        <v>1.5338402980802923</v>
      </c>
      <c r="ER46" s="92">
        <f t="shared" si="119"/>
        <v>387.0337889334333</v>
      </c>
      <c r="ES46" s="42"/>
      <c r="ET46" s="73">
        <v>50</v>
      </c>
      <c r="EU46" s="73">
        <v>0</v>
      </c>
      <c r="EV46" s="73">
        <v>0</v>
      </c>
      <c r="EW46" s="73">
        <v>0</v>
      </c>
      <c r="EX46" s="73">
        <v>50</v>
      </c>
      <c r="EY46" s="73">
        <v>0</v>
      </c>
      <c r="EZ46" s="73">
        <v>0</v>
      </c>
      <c r="FA46" s="73">
        <v>0</v>
      </c>
      <c r="FB46" s="73">
        <v>0</v>
      </c>
      <c r="FC46" s="92">
        <f t="shared" si="120"/>
        <v>329.0144281893939</v>
      </c>
    </row>
    <row r="47" spans="1:159" s="4" customFormat="1" ht="17.25">
      <c r="A47" s="71">
        <v>43</v>
      </c>
      <c r="B47" s="94" t="s">
        <v>449</v>
      </c>
      <c r="C47" s="75">
        <v>1</v>
      </c>
      <c r="D47" s="94">
        <v>2</v>
      </c>
      <c r="E47" s="75">
        <v>450</v>
      </c>
      <c r="F47" s="75">
        <v>1000</v>
      </c>
      <c r="G47" s="94">
        <f t="shared" si="72"/>
        <v>450</v>
      </c>
      <c r="H47" s="94">
        <v>64</v>
      </c>
      <c r="I47" s="72">
        <f t="shared" si="123"/>
        <v>4</v>
      </c>
      <c r="J47" s="94">
        <v>4</v>
      </c>
      <c r="K47" s="94">
        <v>4</v>
      </c>
      <c r="L47" s="100" t="s">
        <v>30</v>
      </c>
      <c r="M47" s="94">
        <v>40</v>
      </c>
      <c r="N47" s="100" t="s">
        <v>30</v>
      </c>
      <c r="O47" s="94" t="s">
        <v>21</v>
      </c>
      <c r="P47" s="77">
        <f t="shared" si="121"/>
        <v>19.128724570502065</v>
      </c>
      <c r="Q47" s="78">
        <f t="shared" si="73"/>
        <v>217.10230954720183</v>
      </c>
      <c r="R47" s="78"/>
      <c r="S47" s="89">
        <v>256</v>
      </c>
      <c r="T47" s="102">
        <v>7</v>
      </c>
      <c r="U47" s="90">
        <v>15</v>
      </c>
      <c r="V47" s="94" t="s">
        <v>55</v>
      </c>
      <c r="W47" s="94" t="s">
        <v>27</v>
      </c>
      <c r="X47" s="94" t="s">
        <v>28</v>
      </c>
      <c r="Y47" s="94" t="s">
        <v>23</v>
      </c>
      <c r="Z47" s="95">
        <v>6.7</v>
      </c>
      <c r="AA47" s="123" t="s">
        <v>556</v>
      </c>
      <c r="AB47" s="100" t="s">
        <v>450</v>
      </c>
      <c r="AC47" s="96">
        <v>3</v>
      </c>
      <c r="AD47" s="97">
        <v>82.4</v>
      </c>
      <c r="AE47" s="98">
        <f>180*C47</f>
        <v>180</v>
      </c>
      <c r="AF47" s="99">
        <v>65</v>
      </c>
      <c r="AG47" s="94"/>
      <c r="AH47" s="91"/>
      <c r="AI47" s="87">
        <f t="shared" si="61"/>
        <v>3.6</v>
      </c>
      <c r="AJ47" s="91">
        <f t="shared" si="62"/>
        <v>3.6</v>
      </c>
      <c r="AK47" s="91">
        <f t="shared" si="124"/>
        <v>1.8</v>
      </c>
      <c r="AL47" s="87">
        <f t="shared" si="64"/>
        <v>3</v>
      </c>
      <c r="AM47" s="92">
        <f>H47*F47/(10500+275*AC47)</f>
        <v>5.6512141280353205</v>
      </c>
      <c r="AN47" s="73">
        <f t="shared" si="74"/>
        <v>1</v>
      </c>
      <c r="AO47" s="87">
        <v>2</v>
      </c>
      <c r="AP47" s="87">
        <v>1</v>
      </c>
      <c r="AQ47" s="87">
        <v>1</v>
      </c>
      <c r="AR47" s="87">
        <v>5</v>
      </c>
      <c r="AS47" s="87">
        <v>5</v>
      </c>
      <c r="AT47" s="87">
        <v>1</v>
      </c>
      <c r="AU47" s="87">
        <v>1</v>
      </c>
      <c r="AV47" s="87">
        <v>2.8</v>
      </c>
      <c r="AW47" s="87">
        <f t="shared" si="75"/>
        <v>3.6</v>
      </c>
      <c r="AX47" s="87">
        <f t="shared" si="76"/>
        <v>3.085714285714286</v>
      </c>
      <c r="AY47" s="91">
        <f t="shared" si="69"/>
        <v>3.013953488372093</v>
      </c>
      <c r="AZ47" s="91">
        <f t="shared" si="77"/>
        <v>3.435911970802283</v>
      </c>
      <c r="BA47" s="91"/>
      <c r="BB47" s="73">
        <v>0.02</v>
      </c>
      <c r="BC47" s="73">
        <f t="shared" si="122"/>
        <v>3.3671937313862372</v>
      </c>
      <c r="BD47" s="73">
        <v>4.840412061378459</v>
      </c>
      <c r="BE47" s="87">
        <v>5.680910008889502</v>
      </c>
      <c r="BF47" s="42"/>
      <c r="BG47" s="42"/>
      <c r="BH47" s="92">
        <v>511</v>
      </c>
      <c r="BI47" s="92">
        <f t="shared" si="78"/>
        <v>1.2</v>
      </c>
      <c r="BJ47" s="87">
        <f t="shared" si="79"/>
        <v>0.45</v>
      </c>
      <c r="BK47" s="87">
        <f t="shared" si="80"/>
        <v>5.6512141280353205</v>
      </c>
      <c r="BL47" s="87">
        <v>8</v>
      </c>
      <c r="BM47" s="87">
        <v>6</v>
      </c>
      <c r="BN47" s="87">
        <v>1</v>
      </c>
      <c r="BO47" s="93">
        <f t="shared" si="81"/>
        <v>0.9912299382417284</v>
      </c>
      <c r="BP47" s="73">
        <f t="shared" si="66"/>
        <v>228.08332006771965</v>
      </c>
      <c r="BQ47" s="42"/>
      <c r="BR47" s="92">
        <v>111</v>
      </c>
      <c r="BS47" s="92">
        <f t="shared" si="82"/>
        <v>1.125</v>
      </c>
      <c r="BT47" s="87">
        <f t="shared" si="83"/>
        <v>0.45</v>
      </c>
      <c r="BU47" s="92">
        <f t="shared" si="84"/>
        <v>5.6512141280353205</v>
      </c>
      <c r="BV47" s="87">
        <v>8</v>
      </c>
      <c r="BW47" s="87">
        <v>6</v>
      </c>
      <c r="BX47" s="87">
        <v>1</v>
      </c>
      <c r="BY47" s="93">
        <f t="shared" si="85"/>
        <v>0.969866369757344</v>
      </c>
      <c r="BZ47" s="92">
        <f t="shared" si="86"/>
        <v>301.30321182663175</v>
      </c>
      <c r="CA47" s="42"/>
      <c r="CB47" s="92">
        <v>122</v>
      </c>
      <c r="CC47" s="92">
        <f t="shared" si="87"/>
        <v>3</v>
      </c>
      <c r="CD47" s="87">
        <f t="shared" si="88"/>
        <v>0.2</v>
      </c>
      <c r="CE47" s="92">
        <f t="shared" si="71"/>
        <v>5.6512141280353205</v>
      </c>
      <c r="CF47" s="87">
        <v>8</v>
      </c>
      <c r="CG47" s="87">
        <v>6</v>
      </c>
      <c r="CH47" s="87">
        <v>1</v>
      </c>
      <c r="CI47" s="93">
        <f t="shared" si="89"/>
        <v>0.6089462771419171</v>
      </c>
      <c r="CJ47" s="92">
        <f t="shared" si="90"/>
        <v>195.44301108816185</v>
      </c>
      <c r="CK47" s="42"/>
      <c r="CL47" s="92">
        <v>388</v>
      </c>
      <c r="CM47" s="92">
        <f t="shared" si="91"/>
        <v>2.25</v>
      </c>
      <c r="CN47" s="92">
        <f t="shared" si="92"/>
        <v>0.225</v>
      </c>
      <c r="CO47" s="92">
        <f t="shared" si="93"/>
        <v>5.6512141280353205</v>
      </c>
      <c r="CP47" s="92">
        <v>8</v>
      </c>
      <c r="CQ47" s="92">
        <v>6</v>
      </c>
      <c r="CR47" s="92">
        <v>1</v>
      </c>
      <c r="CS47" s="92">
        <f t="shared" si="94"/>
        <v>0.6579125838631519</v>
      </c>
      <c r="CT47" s="92">
        <f t="shared" si="95"/>
        <v>189.69437415373545</v>
      </c>
      <c r="CU47" s="42"/>
      <c r="CV47" s="92">
        <v>384</v>
      </c>
      <c r="CW47" s="92">
        <f t="shared" si="96"/>
        <v>2.25</v>
      </c>
      <c r="CX47" s="92">
        <f t="shared" si="97"/>
        <v>0.27692307692307694</v>
      </c>
      <c r="CY47" s="92">
        <f t="shared" si="98"/>
        <v>5.6512141280353205</v>
      </c>
      <c r="CZ47" s="92">
        <v>8</v>
      </c>
      <c r="DA47" s="92">
        <v>6</v>
      </c>
      <c r="DB47" s="92">
        <v>1</v>
      </c>
      <c r="DC47" s="92">
        <f t="shared" si="99"/>
        <v>0.7874271399204029</v>
      </c>
      <c r="DD47" s="92">
        <f t="shared" si="67"/>
        <v>204.18123824311684</v>
      </c>
      <c r="DE47" s="42"/>
      <c r="DF47" s="92">
        <v>234</v>
      </c>
      <c r="DG47" s="92">
        <f t="shared" si="100"/>
        <v>2.5714285714285716</v>
      </c>
      <c r="DH47" s="92">
        <f t="shared" si="101"/>
        <v>0.3</v>
      </c>
      <c r="DI47" s="92">
        <f t="shared" si="102"/>
        <v>5.6512141280353205</v>
      </c>
      <c r="DJ47" s="92">
        <v>8</v>
      </c>
      <c r="DK47" s="92">
        <v>6</v>
      </c>
      <c r="DL47" s="92">
        <v>1</v>
      </c>
      <c r="DM47" s="92">
        <f t="shared" si="103"/>
        <v>0.8588090361322283</v>
      </c>
      <c r="DN47" s="92">
        <f t="shared" si="104"/>
        <v>221.3420986421648</v>
      </c>
      <c r="DO47" s="42"/>
      <c r="DP47" s="92">
        <v>477</v>
      </c>
      <c r="DQ47" s="92">
        <f t="shared" si="105"/>
        <v>3</v>
      </c>
      <c r="DR47" s="92">
        <f t="shared" si="106"/>
        <v>0.3</v>
      </c>
      <c r="DS47" s="92">
        <f t="shared" si="107"/>
        <v>5.6512141280353205</v>
      </c>
      <c r="DT47" s="92">
        <v>8</v>
      </c>
      <c r="DU47" s="92">
        <v>6</v>
      </c>
      <c r="DV47" s="92">
        <v>1</v>
      </c>
      <c r="DW47" s="92">
        <f t="shared" si="108"/>
        <v>0.8755179863086314</v>
      </c>
      <c r="DX47" s="92">
        <f t="shared" si="109"/>
        <v>229.7628795013342</v>
      </c>
      <c r="DY47" s="42"/>
      <c r="DZ47" s="92">
        <v>9999</v>
      </c>
      <c r="EA47" s="73">
        <f t="shared" si="110"/>
        <v>3</v>
      </c>
      <c r="EB47" s="73">
        <f t="shared" si="111"/>
        <v>0.3</v>
      </c>
      <c r="EC47" s="73">
        <f t="shared" si="112"/>
        <v>5.6512141280353205</v>
      </c>
      <c r="ED47" s="92">
        <v>8</v>
      </c>
      <c r="EE47" s="92">
        <v>6</v>
      </c>
      <c r="EF47" s="92">
        <v>1</v>
      </c>
      <c r="EG47" s="92">
        <f t="shared" si="113"/>
        <v>0.8755179863086314</v>
      </c>
      <c r="EH47" s="92">
        <f t="shared" si="114"/>
        <v>229.7628795013342</v>
      </c>
      <c r="EI47" s="42"/>
      <c r="EJ47" s="92">
        <v>548</v>
      </c>
      <c r="EK47" s="92">
        <f t="shared" si="115"/>
        <v>4.5</v>
      </c>
      <c r="EL47" s="92">
        <f t="shared" si="116"/>
        <v>0.32727272727272727</v>
      </c>
      <c r="EM47" s="92">
        <f t="shared" si="117"/>
        <v>5.6512141280353205</v>
      </c>
      <c r="EN47" s="92">
        <v>8</v>
      </c>
      <c r="EO47" s="92">
        <v>6</v>
      </c>
      <c r="EP47" s="92">
        <v>1</v>
      </c>
      <c r="EQ47" s="92">
        <f t="shared" si="118"/>
        <v>0.9858012951477954</v>
      </c>
      <c r="ER47" s="92">
        <f t="shared" si="119"/>
        <v>256.56503829425924</v>
      </c>
      <c r="ES47" s="42"/>
      <c r="ET47" s="73">
        <v>50</v>
      </c>
      <c r="EU47" s="73">
        <v>0</v>
      </c>
      <c r="EV47" s="73">
        <v>0</v>
      </c>
      <c r="EW47" s="73">
        <v>0</v>
      </c>
      <c r="EX47" s="73">
        <v>50</v>
      </c>
      <c r="EY47" s="73">
        <v>0</v>
      </c>
      <c r="EZ47" s="73">
        <v>0</v>
      </c>
      <c r="FA47" s="73">
        <v>0</v>
      </c>
      <c r="FB47" s="73">
        <v>0</v>
      </c>
      <c r="FC47" s="92">
        <f t="shared" si="120"/>
        <v>217.10230954720183</v>
      </c>
    </row>
    <row r="48" spans="1:159" s="4" customFormat="1" ht="17.25">
      <c r="A48" s="71">
        <v>44</v>
      </c>
      <c r="B48" s="94" t="s">
        <v>61</v>
      </c>
      <c r="C48" s="75">
        <v>1</v>
      </c>
      <c r="D48" s="94">
        <v>2</v>
      </c>
      <c r="E48" s="75">
        <v>700</v>
      </c>
      <c r="F48" s="75">
        <v>1800</v>
      </c>
      <c r="G48" s="94">
        <f t="shared" si="72"/>
        <v>700</v>
      </c>
      <c r="H48" s="94">
        <v>16</v>
      </c>
      <c r="I48" s="72">
        <f t="shared" si="123"/>
        <v>4</v>
      </c>
      <c r="J48" s="94">
        <v>4</v>
      </c>
      <c r="K48" s="94">
        <v>4</v>
      </c>
      <c r="L48" s="94" t="s">
        <v>25</v>
      </c>
      <c r="M48" s="94">
        <v>40</v>
      </c>
      <c r="N48" s="94" t="s">
        <v>25</v>
      </c>
      <c r="O48" s="94" t="s">
        <v>21</v>
      </c>
      <c r="P48" s="77">
        <f t="shared" si="121"/>
        <v>26.554495113718275</v>
      </c>
      <c r="Q48" s="78">
        <f t="shared" si="73"/>
        <v>327.103243722443</v>
      </c>
      <c r="R48" s="78"/>
      <c r="S48" s="89">
        <v>512</v>
      </c>
      <c r="T48" s="24" t="s">
        <v>26</v>
      </c>
      <c r="U48" s="24" t="s">
        <v>26</v>
      </c>
      <c r="V48" s="94" t="s">
        <v>441</v>
      </c>
      <c r="W48" s="94" t="s">
        <v>27</v>
      </c>
      <c r="X48" s="94" t="s">
        <v>28</v>
      </c>
      <c r="Y48" s="94" t="s">
        <v>28</v>
      </c>
      <c r="Z48" s="95" t="s">
        <v>560</v>
      </c>
      <c r="AA48" s="95" t="s">
        <v>560</v>
      </c>
      <c r="AB48" s="100">
        <v>10</v>
      </c>
      <c r="AC48" s="96">
        <v>2</v>
      </c>
      <c r="AD48" s="97">
        <v>78.75</v>
      </c>
      <c r="AE48" s="98">
        <f>205*C48</f>
        <v>205</v>
      </c>
      <c r="AF48" s="99">
        <v>55</v>
      </c>
      <c r="AG48" s="94"/>
      <c r="AH48" s="42"/>
      <c r="AI48" s="73">
        <f t="shared" si="61"/>
        <v>5.6</v>
      </c>
      <c r="AJ48" s="42">
        <f t="shared" si="62"/>
        <v>5.6</v>
      </c>
      <c r="AK48" s="42">
        <f t="shared" si="124"/>
        <v>2.8</v>
      </c>
      <c r="AL48" s="73">
        <f t="shared" si="64"/>
        <v>4.666666666666667</v>
      </c>
      <c r="AM48" s="42">
        <f>H48*F48/10000+2.133333333333</f>
        <v>5.013333333333</v>
      </c>
      <c r="AN48" s="73">
        <f t="shared" si="74"/>
        <v>1</v>
      </c>
      <c r="AO48" s="73">
        <v>2</v>
      </c>
      <c r="AP48" s="73">
        <v>1</v>
      </c>
      <c r="AQ48" s="73">
        <v>1</v>
      </c>
      <c r="AR48" s="73">
        <v>5</v>
      </c>
      <c r="AS48" s="87">
        <v>5</v>
      </c>
      <c r="AT48" s="73">
        <v>1</v>
      </c>
      <c r="AU48" s="73">
        <v>1</v>
      </c>
      <c r="AV48" s="73">
        <v>2.8</v>
      </c>
      <c r="AW48" s="73">
        <f t="shared" si="75"/>
        <v>5.6</v>
      </c>
      <c r="AX48" s="73">
        <f t="shared" si="76"/>
        <v>4.799999999999999</v>
      </c>
      <c r="AY48" s="42">
        <f t="shared" si="69"/>
        <v>4.688372093023256</v>
      </c>
      <c r="AZ48" s="42">
        <f t="shared" si="77"/>
        <v>4.769732937685381</v>
      </c>
      <c r="BA48" s="42"/>
      <c r="BB48" s="73">
        <v>0.02</v>
      </c>
      <c r="BC48" s="73">
        <f t="shared" si="122"/>
        <v>4.674338278931674</v>
      </c>
      <c r="BD48" s="73">
        <v>4.840412061378459</v>
      </c>
      <c r="BE48" s="87">
        <v>5.680910008889502</v>
      </c>
      <c r="BF48" s="42"/>
      <c r="BG48" s="42"/>
      <c r="BH48" s="92">
        <v>511</v>
      </c>
      <c r="BI48" s="92">
        <f t="shared" si="78"/>
        <v>1.8666666666666667</v>
      </c>
      <c r="BJ48" s="87">
        <f t="shared" si="79"/>
        <v>0.7</v>
      </c>
      <c r="BK48" s="87">
        <f t="shared" si="80"/>
        <v>5.013333333333</v>
      </c>
      <c r="BL48" s="87">
        <v>8</v>
      </c>
      <c r="BM48" s="87">
        <v>6</v>
      </c>
      <c r="BN48" s="87">
        <v>1</v>
      </c>
      <c r="BO48" s="93">
        <f t="shared" si="81"/>
        <v>1.5317910664920689</v>
      </c>
      <c r="BP48" s="73">
        <f t="shared" si="66"/>
        <v>344.87950916907624</v>
      </c>
      <c r="BQ48" s="42"/>
      <c r="BR48" s="92">
        <v>111</v>
      </c>
      <c r="BS48" s="92">
        <f t="shared" si="82"/>
        <v>1.75</v>
      </c>
      <c r="BT48" s="87">
        <f t="shared" si="83"/>
        <v>0.7</v>
      </c>
      <c r="BU48" s="92">
        <f t="shared" si="84"/>
        <v>5.013333333333</v>
      </c>
      <c r="BV48" s="87">
        <v>8</v>
      </c>
      <c r="BW48" s="87">
        <v>6</v>
      </c>
      <c r="BX48" s="87">
        <v>1</v>
      </c>
      <c r="BY48" s="93">
        <f t="shared" si="85"/>
        <v>1.4989890936013883</v>
      </c>
      <c r="BZ48" s="92">
        <f t="shared" si="86"/>
        <v>451.70435083958495</v>
      </c>
      <c r="CA48" s="42"/>
      <c r="CB48" s="92">
        <v>122</v>
      </c>
      <c r="CC48" s="92">
        <f t="shared" si="87"/>
        <v>4.666666666666667</v>
      </c>
      <c r="CD48" s="87">
        <f t="shared" si="88"/>
        <v>0.3111111111111111</v>
      </c>
      <c r="CE48" s="92">
        <f t="shared" si="71"/>
        <v>5.013333333333</v>
      </c>
      <c r="CF48" s="87">
        <v>8</v>
      </c>
      <c r="CG48" s="87">
        <v>6</v>
      </c>
      <c r="CH48" s="87">
        <v>1</v>
      </c>
      <c r="CI48" s="93">
        <f t="shared" si="89"/>
        <v>0.9434198971270851</v>
      </c>
      <c r="CJ48" s="92">
        <f t="shared" si="90"/>
        <v>293.65498188807095</v>
      </c>
      <c r="CK48" s="42"/>
      <c r="CL48" s="92">
        <v>388</v>
      </c>
      <c r="CM48" s="92">
        <f t="shared" si="91"/>
        <v>3.5</v>
      </c>
      <c r="CN48" s="92">
        <f t="shared" si="92"/>
        <v>0.35</v>
      </c>
      <c r="CO48" s="92">
        <f t="shared" si="93"/>
        <v>5.013333333333</v>
      </c>
      <c r="CP48" s="92">
        <v>8</v>
      </c>
      <c r="CQ48" s="92">
        <v>6</v>
      </c>
      <c r="CR48" s="92">
        <v>1</v>
      </c>
      <c r="CS48" s="92">
        <f t="shared" si="94"/>
        <v>1.018950465534929</v>
      </c>
      <c r="CT48" s="92">
        <f t="shared" si="95"/>
        <v>284.9314501121915</v>
      </c>
      <c r="CU48" s="42"/>
      <c r="CV48" s="92">
        <v>384</v>
      </c>
      <c r="CW48" s="92">
        <f t="shared" si="96"/>
        <v>3.5</v>
      </c>
      <c r="CX48" s="92">
        <f t="shared" si="97"/>
        <v>0.4307692307692308</v>
      </c>
      <c r="CY48" s="92">
        <f t="shared" si="98"/>
        <v>5.013333333333</v>
      </c>
      <c r="CZ48" s="92">
        <v>8</v>
      </c>
      <c r="DA48" s="92">
        <v>6</v>
      </c>
      <c r="DB48" s="92">
        <v>1</v>
      </c>
      <c r="DC48" s="92">
        <f t="shared" si="99"/>
        <v>1.2184903127242417</v>
      </c>
      <c r="DD48" s="92">
        <f t="shared" si="67"/>
        <v>306.4465353085651</v>
      </c>
      <c r="DE48" s="42"/>
      <c r="DF48" s="92">
        <v>234</v>
      </c>
      <c r="DG48" s="92">
        <f t="shared" si="100"/>
        <v>4</v>
      </c>
      <c r="DH48" s="92">
        <f t="shared" si="101"/>
        <v>0.4666666666666667</v>
      </c>
      <c r="DI48" s="92">
        <f t="shared" si="102"/>
        <v>5.013333333333</v>
      </c>
      <c r="DJ48" s="92">
        <v>8</v>
      </c>
      <c r="DK48" s="92">
        <v>6</v>
      </c>
      <c r="DL48" s="92">
        <v>1</v>
      </c>
      <c r="DM48" s="92">
        <f t="shared" si="103"/>
        <v>1.3283201695727864</v>
      </c>
      <c r="DN48" s="92">
        <f t="shared" si="104"/>
        <v>332.0563225465013</v>
      </c>
      <c r="DO48" s="42"/>
      <c r="DP48" s="92">
        <v>477</v>
      </c>
      <c r="DQ48" s="92">
        <f t="shared" si="105"/>
        <v>4.666666666666667</v>
      </c>
      <c r="DR48" s="92">
        <f t="shared" si="106"/>
        <v>0.4666666666666667</v>
      </c>
      <c r="DS48" s="92">
        <f t="shared" si="107"/>
        <v>5.013333333333</v>
      </c>
      <c r="DT48" s="92">
        <v>8</v>
      </c>
      <c r="DU48" s="92">
        <v>6</v>
      </c>
      <c r="DV48" s="92">
        <v>1</v>
      </c>
      <c r="DW48" s="92">
        <f t="shared" si="108"/>
        <v>1.3540139414049426</v>
      </c>
      <c r="DX48" s="92">
        <f t="shared" si="109"/>
        <v>344.653635944624</v>
      </c>
      <c r="DY48" s="42"/>
      <c r="DZ48" s="92">
        <v>9999</v>
      </c>
      <c r="EA48" s="73">
        <f t="shared" si="110"/>
        <v>4.666666666666667</v>
      </c>
      <c r="EB48" s="73">
        <f t="shared" si="111"/>
        <v>0.4666666666666667</v>
      </c>
      <c r="EC48" s="73">
        <f t="shared" si="112"/>
        <v>5.013333333333</v>
      </c>
      <c r="ED48" s="92">
        <v>8</v>
      </c>
      <c r="EE48" s="92">
        <v>6</v>
      </c>
      <c r="EF48" s="92">
        <v>1</v>
      </c>
      <c r="EG48" s="92">
        <f t="shared" si="113"/>
        <v>1.3540139414049426</v>
      </c>
      <c r="EH48" s="92">
        <f t="shared" si="114"/>
        <v>344.653635944624</v>
      </c>
      <c r="EI48" s="42"/>
      <c r="EJ48" s="92">
        <v>548</v>
      </c>
      <c r="EK48" s="92">
        <f t="shared" si="115"/>
        <v>7</v>
      </c>
      <c r="EL48" s="92">
        <f t="shared" si="116"/>
        <v>0.509090909090909</v>
      </c>
      <c r="EM48" s="92">
        <f t="shared" si="117"/>
        <v>5.013333333333</v>
      </c>
      <c r="EN48" s="92">
        <v>8</v>
      </c>
      <c r="EO48" s="92">
        <v>6</v>
      </c>
      <c r="EP48" s="92">
        <v>1</v>
      </c>
      <c r="EQ48" s="92">
        <f t="shared" si="118"/>
        <v>1.5234567186640797</v>
      </c>
      <c r="ER48" s="92">
        <f t="shared" si="119"/>
        <v>384.5965286395759</v>
      </c>
      <c r="ES48" s="42"/>
      <c r="ET48" s="73">
        <v>50</v>
      </c>
      <c r="EU48" s="73">
        <v>0</v>
      </c>
      <c r="EV48" s="73">
        <v>0</v>
      </c>
      <c r="EW48" s="73">
        <v>0</v>
      </c>
      <c r="EX48" s="73">
        <v>50</v>
      </c>
      <c r="EY48" s="73">
        <v>0</v>
      </c>
      <c r="EZ48" s="73">
        <v>0</v>
      </c>
      <c r="FA48" s="73">
        <v>0</v>
      </c>
      <c r="FB48" s="73">
        <v>0</v>
      </c>
      <c r="FC48" s="92">
        <f t="shared" si="120"/>
        <v>327.103243722443</v>
      </c>
    </row>
    <row r="49" spans="1:159" s="5" customFormat="1" ht="17.25">
      <c r="A49" s="71">
        <v>45</v>
      </c>
      <c r="B49" s="94" t="s">
        <v>325</v>
      </c>
      <c r="C49" s="75">
        <v>1</v>
      </c>
      <c r="D49" s="94">
        <v>2</v>
      </c>
      <c r="E49" s="75">
        <v>500</v>
      </c>
      <c r="F49" s="75">
        <v>1800</v>
      </c>
      <c r="G49" s="94">
        <f t="shared" si="72"/>
        <v>500</v>
      </c>
      <c r="H49" s="94">
        <v>16</v>
      </c>
      <c r="I49" s="72">
        <f t="shared" si="123"/>
        <v>4</v>
      </c>
      <c r="J49" s="94">
        <v>4</v>
      </c>
      <c r="K49" s="94">
        <v>4</v>
      </c>
      <c r="L49" s="94" t="s">
        <v>25</v>
      </c>
      <c r="M49" s="94">
        <v>40</v>
      </c>
      <c r="N49" s="94" t="s">
        <v>25</v>
      </c>
      <c r="O49" s="94" t="s">
        <v>21</v>
      </c>
      <c r="P49" s="77">
        <f t="shared" si="121"/>
        <v>20.42886623290285</v>
      </c>
      <c r="Q49" s="78">
        <f t="shared" si="73"/>
        <v>239.26616298724613</v>
      </c>
      <c r="R49" s="78"/>
      <c r="S49" s="89">
        <v>512</v>
      </c>
      <c r="T49" s="24" t="s">
        <v>26</v>
      </c>
      <c r="U49" s="24" t="s">
        <v>26</v>
      </c>
      <c r="V49" s="94" t="s">
        <v>441</v>
      </c>
      <c r="W49" s="94" t="s">
        <v>27</v>
      </c>
      <c r="X49" s="94" t="s">
        <v>28</v>
      </c>
      <c r="Y49" s="94" t="s">
        <v>28</v>
      </c>
      <c r="Z49" s="95" t="s">
        <v>560</v>
      </c>
      <c r="AA49" s="95" t="s">
        <v>560</v>
      </c>
      <c r="AB49" s="100" t="s">
        <v>451</v>
      </c>
      <c r="AC49" s="96">
        <v>2</v>
      </c>
      <c r="AD49" s="97" t="s">
        <v>47</v>
      </c>
      <c r="AE49" s="98" t="s">
        <v>47</v>
      </c>
      <c r="AF49" s="99">
        <v>55</v>
      </c>
      <c r="AG49" s="94"/>
      <c r="AH49" s="91"/>
      <c r="AI49" s="87">
        <f t="shared" si="61"/>
        <v>4</v>
      </c>
      <c r="AJ49" s="91">
        <f t="shared" si="62"/>
        <v>4</v>
      </c>
      <c r="AK49" s="91">
        <f t="shared" si="124"/>
        <v>2</v>
      </c>
      <c r="AL49" s="87">
        <f t="shared" si="64"/>
        <v>3.3333333333333335</v>
      </c>
      <c r="AM49" s="91">
        <f>H49*F49/10000+2.133333333333</f>
        <v>5.013333333333</v>
      </c>
      <c r="AN49" s="73">
        <f t="shared" si="74"/>
        <v>1</v>
      </c>
      <c r="AO49" s="87">
        <v>2</v>
      </c>
      <c r="AP49" s="87">
        <v>1</v>
      </c>
      <c r="AQ49" s="87">
        <v>1</v>
      </c>
      <c r="AR49" s="87">
        <v>5</v>
      </c>
      <c r="AS49" s="87">
        <v>5</v>
      </c>
      <c r="AT49" s="87">
        <v>1</v>
      </c>
      <c r="AU49" s="87">
        <v>1</v>
      </c>
      <c r="AV49" s="87">
        <v>2.8</v>
      </c>
      <c r="AW49" s="87">
        <f t="shared" si="75"/>
        <v>4</v>
      </c>
      <c r="AX49" s="87">
        <f t="shared" si="76"/>
        <v>3.4285714285714284</v>
      </c>
      <c r="AY49" s="91">
        <f t="shared" si="69"/>
        <v>3.3488372093023258</v>
      </c>
      <c r="AZ49" s="91">
        <f t="shared" si="77"/>
        <v>3.6694441273826723</v>
      </c>
      <c r="BA49" s="91"/>
      <c r="BB49" s="73">
        <v>0.02</v>
      </c>
      <c r="BC49" s="73">
        <f t="shared" si="122"/>
        <v>3.5960552448350187</v>
      </c>
      <c r="BD49" s="73">
        <v>4.840412061378459</v>
      </c>
      <c r="BE49" s="87">
        <v>5.680910008889502</v>
      </c>
      <c r="BF49" s="91"/>
      <c r="BG49" s="91"/>
      <c r="BH49" s="92">
        <v>511</v>
      </c>
      <c r="BI49" s="92">
        <f t="shared" si="78"/>
        <v>1.3333333333333333</v>
      </c>
      <c r="BJ49" s="87">
        <f t="shared" si="79"/>
        <v>0.5</v>
      </c>
      <c r="BK49" s="87">
        <f t="shared" si="80"/>
        <v>5.013333333333</v>
      </c>
      <c r="BL49" s="87">
        <v>8</v>
      </c>
      <c r="BM49" s="87">
        <v>6</v>
      </c>
      <c r="BN49" s="87">
        <v>1</v>
      </c>
      <c r="BO49" s="93">
        <f t="shared" si="81"/>
        <v>1.0989332164255436</v>
      </c>
      <c r="BP49" s="73">
        <f t="shared" si="66"/>
        <v>251.56520481507707</v>
      </c>
      <c r="BQ49" s="91"/>
      <c r="BR49" s="92">
        <v>111</v>
      </c>
      <c r="BS49" s="92">
        <f t="shared" si="82"/>
        <v>1.25</v>
      </c>
      <c r="BT49" s="87">
        <f t="shared" si="83"/>
        <v>0.5</v>
      </c>
      <c r="BU49" s="92">
        <f t="shared" si="84"/>
        <v>5.013333333333</v>
      </c>
      <c r="BV49" s="87">
        <v>8</v>
      </c>
      <c r="BW49" s="87">
        <v>6</v>
      </c>
      <c r="BX49" s="87">
        <v>1</v>
      </c>
      <c r="BY49" s="93">
        <f t="shared" si="85"/>
        <v>1.0752995681642685</v>
      </c>
      <c r="BZ49" s="92">
        <f t="shared" si="86"/>
        <v>331.6531314438018</v>
      </c>
      <c r="CA49" s="91"/>
      <c r="CB49" s="92">
        <v>122</v>
      </c>
      <c r="CC49" s="92">
        <f t="shared" si="87"/>
        <v>3.3333333333333335</v>
      </c>
      <c r="CD49" s="87">
        <f t="shared" si="88"/>
        <v>0.2222222222222222</v>
      </c>
      <c r="CE49" s="92">
        <f t="shared" si="71"/>
        <v>5.013333333333</v>
      </c>
      <c r="CF49" s="87">
        <v>8</v>
      </c>
      <c r="CG49" s="87">
        <v>6</v>
      </c>
      <c r="CH49" s="87">
        <v>1</v>
      </c>
      <c r="CI49" s="93">
        <f t="shared" si="89"/>
        <v>0.6756878178518156</v>
      </c>
      <c r="CJ49" s="92">
        <f t="shared" si="90"/>
        <v>215.2908421548401</v>
      </c>
      <c r="CK49" s="91"/>
      <c r="CL49" s="92">
        <v>388</v>
      </c>
      <c r="CM49" s="92">
        <f t="shared" si="91"/>
        <v>2.5</v>
      </c>
      <c r="CN49" s="92">
        <f t="shared" si="92"/>
        <v>0.25</v>
      </c>
      <c r="CO49" s="92">
        <f t="shared" si="93"/>
        <v>5.013333333333</v>
      </c>
      <c r="CP49" s="92">
        <v>8</v>
      </c>
      <c r="CQ49" s="92">
        <v>6</v>
      </c>
      <c r="CR49" s="92">
        <v>1</v>
      </c>
      <c r="CS49" s="92">
        <f t="shared" si="94"/>
        <v>0.7299411776125484</v>
      </c>
      <c r="CT49" s="92">
        <f t="shared" si="95"/>
        <v>208.9371876718091</v>
      </c>
      <c r="CU49" s="91"/>
      <c r="CV49" s="92">
        <v>384</v>
      </c>
      <c r="CW49" s="92">
        <f t="shared" si="96"/>
        <v>2.5</v>
      </c>
      <c r="CX49" s="92">
        <f t="shared" si="97"/>
        <v>0.3076923076923077</v>
      </c>
      <c r="CY49" s="92">
        <f t="shared" si="98"/>
        <v>5.013333333333</v>
      </c>
      <c r="CZ49" s="92">
        <v>8</v>
      </c>
      <c r="DA49" s="92">
        <v>6</v>
      </c>
      <c r="DB49" s="92">
        <v>1</v>
      </c>
      <c r="DC49" s="92">
        <f t="shared" si="99"/>
        <v>0.8733827321084291</v>
      </c>
      <c r="DD49" s="92">
        <f t="shared" si="67"/>
        <v>224.83320917989042</v>
      </c>
      <c r="DE49" s="91"/>
      <c r="DF49" s="92">
        <v>234</v>
      </c>
      <c r="DG49" s="92">
        <f t="shared" si="100"/>
        <v>2.857142857142857</v>
      </c>
      <c r="DH49" s="92">
        <f t="shared" si="101"/>
        <v>0.3333333333333333</v>
      </c>
      <c r="DI49" s="92">
        <f t="shared" si="102"/>
        <v>5.013333333333</v>
      </c>
      <c r="DJ49" s="92">
        <v>8</v>
      </c>
      <c r="DK49" s="92">
        <v>6</v>
      </c>
      <c r="DL49" s="92">
        <v>1</v>
      </c>
      <c r="DM49" s="92">
        <f t="shared" si="103"/>
        <v>0.9524050761164157</v>
      </c>
      <c r="DN49" s="92">
        <f t="shared" si="104"/>
        <v>243.69373415852303</v>
      </c>
      <c r="DO49" s="91"/>
      <c r="DP49" s="92">
        <v>477</v>
      </c>
      <c r="DQ49" s="92">
        <f t="shared" si="105"/>
        <v>3.3333333333333335</v>
      </c>
      <c r="DR49" s="92">
        <f t="shared" si="106"/>
        <v>0.3333333333333333</v>
      </c>
      <c r="DS49" s="92">
        <f t="shared" si="107"/>
        <v>5.013333333333</v>
      </c>
      <c r="DT49" s="92">
        <v>8</v>
      </c>
      <c r="DU49" s="92">
        <v>6</v>
      </c>
      <c r="DV49" s="92">
        <v>1</v>
      </c>
      <c r="DW49" s="92">
        <f t="shared" si="108"/>
        <v>0.9708988560952302</v>
      </c>
      <c r="DX49" s="92">
        <f t="shared" si="109"/>
        <v>252.95610075620374</v>
      </c>
      <c r="DY49" s="91"/>
      <c r="DZ49" s="92">
        <v>9999</v>
      </c>
      <c r="EA49" s="73">
        <f t="shared" si="110"/>
        <v>3.3333333333333335</v>
      </c>
      <c r="EB49" s="73">
        <f t="shared" si="111"/>
        <v>0.3333333333333333</v>
      </c>
      <c r="EC49" s="73">
        <f t="shared" si="112"/>
        <v>5.013333333333</v>
      </c>
      <c r="ED49" s="92">
        <v>8</v>
      </c>
      <c r="EE49" s="92">
        <v>6</v>
      </c>
      <c r="EF49" s="92">
        <v>1</v>
      </c>
      <c r="EG49" s="92">
        <f t="shared" si="113"/>
        <v>0.9708988560952302</v>
      </c>
      <c r="EH49" s="92">
        <f t="shared" si="114"/>
        <v>252.95610075620374</v>
      </c>
      <c r="EI49" s="91"/>
      <c r="EJ49" s="92">
        <v>548</v>
      </c>
      <c r="EK49" s="92">
        <f t="shared" si="115"/>
        <v>5</v>
      </c>
      <c r="EL49" s="92">
        <f t="shared" si="116"/>
        <v>0.36363636363636365</v>
      </c>
      <c r="EM49" s="92">
        <f t="shared" si="117"/>
        <v>5.013333333333</v>
      </c>
      <c r="EN49" s="92">
        <v>8</v>
      </c>
      <c r="EO49" s="92">
        <v>6</v>
      </c>
      <c r="EP49" s="92">
        <v>1</v>
      </c>
      <c r="EQ49" s="92">
        <f t="shared" si="118"/>
        <v>1.0929279423306097</v>
      </c>
      <c r="ER49" s="92">
        <f t="shared" si="119"/>
        <v>282.3992054057294</v>
      </c>
      <c r="ES49" s="91"/>
      <c r="ET49" s="73">
        <v>50</v>
      </c>
      <c r="EU49" s="73">
        <v>0</v>
      </c>
      <c r="EV49" s="73">
        <v>0</v>
      </c>
      <c r="EW49" s="73">
        <v>0</v>
      </c>
      <c r="EX49" s="73">
        <v>50</v>
      </c>
      <c r="EY49" s="73">
        <v>0</v>
      </c>
      <c r="EZ49" s="73">
        <v>0</v>
      </c>
      <c r="FA49" s="73">
        <v>0</v>
      </c>
      <c r="FB49" s="73">
        <v>0</v>
      </c>
      <c r="FC49" s="92">
        <f t="shared" si="120"/>
        <v>239.26616298724613</v>
      </c>
    </row>
    <row r="50" spans="1:159" s="4" customFormat="1" ht="17.25">
      <c r="A50" s="71">
        <v>46</v>
      </c>
      <c r="B50" s="94" t="s">
        <v>324</v>
      </c>
      <c r="C50" s="75">
        <v>1</v>
      </c>
      <c r="D50" s="94">
        <v>2</v>
      </c>
      <c r="E50" s="75">
        <v>500</v>
      </c>
      <c r="F50" s="75">
        <v>1800</v>
      </c>
      <c r="G50" s="94">
        <f t="shared" si="72"/>
        <v>500</v>
      </c>
      <c r="H50" s="94">
        <v>16</v>
      </c>
      <c r="I50" s="72">
        <f t="shared" si="123"/>
        <v>4</v>
      </c>
      <c r="J50" s="94">
        <v>4</v>
      </c>
      <c r="K50" s="94">
        <v>4</v>
      </c>
      <c r="L50" s="94" t="s">
        <v>25</v>
      </c>
      <c r="M50" s="94">
        <v>40</v>
      </c>
      <c r="N50" s="94" t="s">
        <v>25</v>
      </c>
      <c r="O50" s="94" t="s">
        <v>21</v>
      </c>
      <c r="P50" s="77">
        <f t="shared" si="121"/>
        <v>17.878063836426342</v>
      </c>
      <c r="Q50" s="78">
        <f t="shared" si="73"/>
        <v>237.62025382825837</v>
      </c>
      <c r="R50" s="78"/>
      <c r="S50" s="89">
        <v>512</v>
      </c>
      <c r="T50" s="24" t="s">
        <v>26</v>
      </c>
      <c r="U50" s="24" t="s">
        <v>26</v>
      </c>
      <c r="V50" s="94" t="s">
        <v>441</v>
      </c>
      <c r="W50" s="94" t="s">
        <v>27</v>
      </c>
      <c r="X50" s="94" t="s">
        <v>28</v>
      </c>
      <c r="Y50" s="94" t="s">
        <v>28</v>
      </c>
      <c r="Z50" s="95" t="s">
        <v>560</v>
      </c>
      <c r="AA50" s="95" t="s">
        <v>560</v>
      </c>
      <c r="AB50" s="100" t="s">
        <v>451</v>
      </c>
      <c r="AC50" s="96">
        <v>2</v>
      </c>
      <c r="AD50" s="97" t="s">
        <v>47</v>
      </c>
      <c r="AE50" s="98" t="s">
        <v>47</v>
      </c>
      <c r="AF50" s="99">
        <v>55</v>
      </c>
      <c r="AG50" s="94"/>
      <c r="AH50" s="91"/>
      <c r="AI50" s="87">
        <f t="shared" si="61"/>
        <v>4</v>
      </c>
      <c r="AJ50" s="91">
        <f t="shared" si="62"/>
        <v>4</v>
      </c>
      <c r="AK50" s="91">
        <f t="shared" si="124"/>
        <v>2</v>
      </c>
      <c r="AL50" s="87">
        <f t="shared" si="64"/>
        <v>3.3333333333333335</v>
      </c>
      <c r="AM50" s="91">
        <f>H50*F50/10000</f>
        <v>2.88</v>
      </c>
      <c r="AN50" s="73">
        <f t="shared" si="74"/>
        <v>1</v>
      </c>
      <c r="AO50" s="87">
        <v>2</v>
      </c>
      <c r="AP50" s="87">
        <v>1</v>
      </c>
      <c r="AQ50" s="87">
        <v>1</v>
      </c>
      <c r="AR50" s="87">
        <v>5</v>
      </c>
      <c r="AS50" s="87">
        <v>5</v>
      </c>
      <c r="AT50" s="87">
        <v>1</v>
      </c>
      <c r="AU50" s="87">
        <v>1</v>
      </c>
      <c r="AV50" s="87">
        <v>2.8</v>
      </c>
      <c r="AW50" s="87">
        <f t="shared" si="75"/>
        <v>4</v>
      </c>
      <c r="AX50" s="87">
        <f t="shared" si="76"/>
        <v>3.4285714285714284</v>
      </c>
      <c r="AY50" s="91">
        <f t="shared" si="69"/>
        <v>3.3488372093023258</v>
      </c>
      <c r="AZ50" s="91">
        <f t="shared" si="77"/>
        <v>3.211267605633802</v>
      </c>
      <c r="BA50" s="91"/>
      <c r="BB50" s="73">
        <v>0.02</v>
      </c>
      <c r="BC50" s="73">
        <f t="shared" si="122"/>
        <v>3.147042253521126</v>
      </c>
      <c r="BD50" s="73">
        <v>4.840412061378459</v>
      </c>
      <c r="BE50" s="87">
        <v>5.680910008889502</v>
      </c>
      <c r="BF50" s="42"/>
      <c r="BG50" s="42"/>
      <c r="BH50" s="92">
        <v>511</v>
      </c>
      <c r="BI50" s="92">
        <f t="shared" si="78"/>
        <v>1.3333333333333333</v>
      </c>
      <c r="BJ50" s="87">
        <f t="shared" si="79"/>
        <v>0.5</v>
      </c>
      <c r="BK50" s="87">
        <f t="shared" si="80"/>
        <v>2.88</v>
      </c>
      <c r="BL50" s="87">
        <v>8</v>
      </c>
      <c r="BM50" s="87">
        <v>6</v>
      </c>
      <c r="BN50" s="87">
        <v>1</v>
      </c>
      <c r="BO50" s="93">
        <f t="shared" si="81"/>
        <v>1.0900832702498109</v>
      </c>
      <c r="BP50" s="73">
        <f t="shared" si="66"/>
        <v>249.64020283325345</v>
      </c>
      <c r="BQ50" s="42"/>
      <c r="BR50" s="92">
        <v>111</v>
      </c>
      <c r="BS50" s="92">
        <f t="shared" si="82"/>
        <v>1.25</v>
      </c>
      <c r="BT50" s="87">
        <f t="shared" si="83"/>
        <v>0.5</v>
      </c>
      <c r="BU50" s="92">
        <f t="shared" si="84"/>
        <v>2.88</v>
      </c>
      <c r="BV50" s="87">
        <v>8</v>
      </c>
      <c r="BW50" s="87">
        <v>6</v>
      </c>
      <c r="BX50" s="87">
        <v>1</v>
      </c>
      <c r="BY50" s="93">
        <f t="shared" si="85"/>
        <v>1.066824714772559</v>
      </c>
      <c r="BZ50" s="92">
        <f t="shared" si="86"/>
        <v>329.2215439870634</v>
      </c>
      <c r="CA50" s="42"/>
      <c r="CB50" s="92">
        <v>122</v>
      </c>
      <c r="CC50" s="92">
        <f t="shared" si="87"/>
        <v>3.3333333333333335</v>
      </c>
      <c r="CD50" s="87">
        <f t="shared" si="88"/>
        <v>0.2222222222222222</v>
      </c>
      <c r="CE50" s="87">
        <f>BJ50</f>
        <v>0.5</v>
      </c>
      <c r="CF50" s="87">
        <v>8</v>
      </c>
      <c r="CG50" s="87">
        <v>6</v>
      </c>
      <c r="CH50" s="87">
        <v>1</v>
      </c>
      <c r="CI50" s="93">
        <f t="shared" si="89"/>
        <v>0.6369426751592357</v>
      </c>
      <c r="CJ50" s="92">
        <f t="shared" si="90"/>
        <v>203.7863154291783</v>
      </c>
      <c r="CK50" s="42"/>
      <c r="CL50" s="92">
        <v>388</v>
      </c>
      <c r="CM50" s="92">
        <f t="shared" si="91"/>
        <v>2.5</v>
      </c>
      <c r="CN50" s="92">
        <f t="shared" si="92"/>
        <v>0.25</v>
      </c>
      <c r="CO50" s="92">
        <f t="shared" si="93"/>
        <v>2.88</v>
      </c>
      <c r="CP50" s="92">
        <v>8</v>
      </c>
      <c r="CQ50" s="92">
        <v>6</v>
      </c>
      <c r="CR50" s="92">
        <v>1</v>
      </c>
      <c r="CS50" s="92">
        <f t="shared" si="94"/>
        <v>0.7260260159322376</v>
      </c>
      <c r="CT50" s="92">
        <f t="shared" si="95"/>
        <v>207.89476893508493</v>
      </c>
      <c r="CU50" s="42"/>
      <c r="CV50" s="92">
        <v>384</v>
      </c>
      <c r="CW50" s="92">
        <f t="shared" si="96"/>
        <v>2.5</v>
      </c>
      <c r="CX50" s="92">
        <f t="shared" si="97"/>
        <v>0.3076923076923077</v>
      </c>
      <c r="CY50" s="92">
        <f t="shared" si="98"/>
        <v>2.88</v>
      </c>
      <c r="CZ50" s="92">
        <v>8</v>
      </c>
      <c r="DA50" s="92">
        <v>6</v>
      </c>
      <c r="DB50" s="92">
        <v>1</v>
      </c>
      <c r="DC50" s="92">
        <f t="shared" si="99"/>
        <v>0.8677835362179102</v>
      </c>
      <c r="DD50" s="92">
        <f t="shared" si="67"/>
        <v>223.49241495908703</v>
      </c>
      <c r="DE50" s="42"/>
      <c r="DF50" s="92">
        <v>234</v>
      </c>
      <c r="DG50" s="92">
        <f t="shared" si="100"/>
        <v>2.857142857142857</v>
      </c>
      <c r="DH50" s="92">
        <f t="shared" si="101"/>
        <v>0.3333333333333333</v>
      </c>
      <c r="DI50" s="92">
        <f t="shared" si="102"/>
        <v>2.88</v>
      </c>
      <c r="DJ50" s="92">
        <v>8</v>
      </c>
      <c r="DK50" s="92">
        <v>6</v>
      </c>
      <c r="DL50" s="92">
        <v>1</v>
      </c>
      <c r="DM50" s="92">
        <f t="shared" si="103"/>
        <v>0.9457506896098778</v>
      </c>
      <c r="DN50" s="92">
        <f t="shared" si="104"/>
        <v>242.10986213310585</v>
      </c>
      <c r="DO50" s="42"/>
      <c r="DP50" s="92">
        <v>477</v>
      </c>
      <c r="DQ50" s="92">
        <f t="shared" si="105"/>
        <v>3.3333333333333335</v>
      </c>
      <c r="DR50" s="92">
        <f t="shared" si="106"/>
        <v>0.3333333333333333</v>
      </c>
      <c r="DS50" s="92">
        <f t="shared" si="107"/>
        <v>2.88</v>
      </c>
      <c r="DT50" s="92">
        <v>8</v>
      </c>
      <c r="DU50" s="92">
        <v>6</v>
      </c>
      <c r="DV50" s="92">
        <v>1</v>
      </c>
      <c r="DW50" s="92">
        <f t="shared" si="108"/>
        <v>0.9639844691391084</v>
      </c>
      <c r="DX50" s="92">
        <f t="shared" si="109"/>
        <v>251.2803234244353</v>
      </c>
      <c r="DY50" s="42"/>
      <c r="DZ50" s="92">
        <v>9999</v>
      </c>
      <c r="EA50" s="73">
        <f t="shared" si="110"/>
        <v>3.3333333333333335</v>
      </c>
      <c r="EB50" s="73">
        <f t="shared" si="111"/>
        <v>0.3333333333333333</v>
      </c>
      <c r="EC50" s="73">
        <f t="shared" si="112"/>
        <v>2.88</v>
      </c>
      <c r="ED50" s="92">
        <v>8</v>
      </c>
      <c r="EE50" s="92">
        <v>6</v>
      </c>
      <c r="EF50" s="92">
        <v>1</v>
      </c>
      <c r="EG50" s="92">
        <f t="shared" si="113"/>
        <v>0.9639844691391084</v>
      </c>
      <c r="EH50" s="92">
        <f t="shared" si="114"/>
        <v>251.2803234244353</v>
      </c>
      <c r="EI50" s="42"/>
      <c r="EJ50" s="92">
        <v>548</v>
      </c>
      <c r="EK50" s="92">
        <f t="shared" si="115"/>
        <v>5</v>
      </c>
      <c r="EL50" s="92">
        <f t="shared" si="116"/>
        <v>0.36363636363636365</v>
      </c>
      <c r="EM50" s="92">
        <f t="shared" si="117"/>
        <v>2.88</v>
      </c>
      <c r="EN50" s="92">
        <v>8</v>
      </c>
      <c r="EO50" s="92">
        <v>6</v>
      </c>
      <c r="EP50" s="92">
        <v>1</v>
      </c>
      <c r="EQ50" s="92">
        <f t="shared" si="118"/>
        <v>1.084174070170155</v>
      </c>
      <c r="ER50" s="92">
        <f t="shared" si="119"/>
        <v>280.29505311466266</v>
      </c>
      <c r="ES50" s="42"/>
      <c r="ET50" s="73">
        <v>50</v>
      </c>
      <c r="EU50" s="73">
        <v>0</v>
      </c>
      <c r="EV50" s="73">
        <v>0</v>
      </c>
      <c r="EW50" s="73">
        <v>0</v>
      </c>
      <c r="EX50" s="73">
        <v>50</v>
      </c>
      <c r="EY50" s="73">
        <v>0</v>
      </c>
      <c r="EZ50" s="73">
        <v>0</v>
      </c>
      <c r="FA50" s="73">
        <v>0</v>
      </c>
      <c r="FB50" s="73">
        <v>0</v>
      </c>
      <c r="FC50" s="92">
        <f t="shared" si="120"/>
        <v>237.62025382825837</v>
      </c>
    </row>
    <row r="51" spans="1:159" s="5" customFormat="1" ht="17.25">
      <c r="A51" s="71">
        <v>47</v>
      </c>
      <c r="B51" s="94" t="s">
        <v>45</v>
      </c>
      <c r="C51" s="75">
        <v>1</v>
      </c>
      <c r="D51" s="94">
        <v>2</v>
      </c>
      <c r="E51" s="75">
        <v>500</v>
      </c>
      <c r="F51" s="75">
        <v>1800</v>
      </c>
      <c r="G51" s="94">
        <f t="shared" si="72"/>
        <v>500</v>
      </c>
      <c r="H51" s="94">
        <v>16</v>
      </c>
      <c r="I51" s="72">
        <f t="shared" si="123"/>
        <v>4</v>
      </c>
      <c r="J51" s="94">
        <v>4</v>
      </c>
      <c r="K51" s="94">
        <v>4</v>
      </c>
      <c r="L51" s="94" t="s">
        <v>25</v>
      </c>
      <c r="M51" s="94">
        <v>40</v>
      </c>
      <c r="N51" s="94" t="s">
        <v>25</v>
      </c>
      <c r="O51" s="94" t="s">
        <v>21</v>
      </c>
      <c r="P51" s="77">
        <f t="shared" si="121"/>
        <v>20.42886623290285</v>
      </c>
      <c r="Q51" s="78">
        <f t="shared" si="73"/>
        <v>239.26616298724613</v>
      </c>
      <c r="R51" s="78"/>
      <c r="S51" s="89">
        <v>512</v>
      </c>
      <c r="T51" s="24" t="s">
        <v>26</v>
      </c>
      <c r="U51" s="24" t="s">
        <v>26</v>
      </c>
      <c r="V51" s="94" t="s">
        <v>441</v>
      </c>
      <c r="W51" s="94" t="s">
        <v>27</v>
      </c>
      <c r="X51" s="94" t="s">
        <v>28</v>
      </c>
      <c r="Y51" s="94" t="s">
        <v>28</v>
      </c>
      <c r="Z51" s="95" t="s">
        <v>560</v>
      </c>
      <c r="AA51" s="95" t="s">
        <v>560</v>
      </c>
      <c r="AB51" s="100">
        <v>10</v>
      </c>
      <c r="AC51" s="96">
        <v>2</v>
      </c>
      <c r="AD51" s="97">
        <v>78.75</v>
      </c>
      <c r="AE51" s="98">
        <f>205*C51</f>
        <v>205</v>
      </c>
      <c r="AF51" s="99">
        <v>55</v>
      </c>
      <c r="AG51" s="94"/>
      <c r="AH51" s="91"/>
      <c r="AI51" s="87">
        <f t="shared" si="61"/>
        <v>4</v>
      </c>
      <c r="AJ51" s="91">
        <f t="shared" si="62"/>
        <v>4</v>
      </c>
      <c r="AK51" s="91">
        <f t="shared" si="124"/>
        <v>2</v>
      </c>
      <c r="AL51" s="87">
        <f t="shared" si="64"/>
        <v>3.3333333333333335</v>
      </c>
      <c r="AM51" s="91">
        <f>H51*F51/10000+2.133333333333</f>
        <v>5.013333333333</v>
      </c>
      <c r="AN51" s="73">
        <f t="shared" si="74"/>
        <v>1</v>
      </c>
      <c r="AO51" s="87">
        <v>2</v>
      </c>
      <c r="AP51" s="87">
        <v>1</v>
      </c>
      <c r="AQ51" s="87">
        <v>1</v>
      </c>
      <c r="AR51" s="87">
        <v>5</v>
      </c>
      <c r="AS51" s="87">
        <v>5</v>
      </c>
      <c r="AT51" s="87">
        <v>1</v>
      </c>
      <c r="AU51" s="87">
        <v>1</v>
      </c>
      <c r="AV51" s="87">
        <v>2.8</v>
      </c>
      <c r="AW51" s="87">
        <f t="shared" si="75"/>
        <v>4</v>
      </c>
      <c r="AX51" s="87">
        <f t="shared" si="76"/>
        <v>3.4285714285714284</v>
      </c>
      <c r="AY51" s="91">
        <f t="shared" si="69"/>
        <v>3.3488372093023258</v>
      </c>
      <c r="AZ51" s="91">
        <f t="shared" si="77"/>
        <v>3.6694441273826723</v>
      </c>
      <c r="BA51" s="91"/>
      <c r="BB51" s="73">
        <v>0.02</v>
      </c>
      <c r="BC51" s="73">
        <f t="shared" si="122"/>
        <v>3.5960552448350187</v>
      </c>
      <c r="BD51" s="73">
        <v>4.840412061378459</v>
      </c>
      <c r="BE51" s="87">
        <v>5.680910008889502</v>
      </c>
      <c r="BF51" s="91"/>
      <c r="BG51" s="91"/>
      <c r="BH51" s="92">
        <v>511</v>
      </c>
      <c r="BI51" s="92">
        <f t="shared" si="78"/>
        <v>1.3333333333333333</v>
      </c>
      <c r="BJ51" s="87">
        <f t="shared" si="79"/>
        <v>0.5</v>
      </c>
      <c r="BK51" s="87">
        <f t="shared" si="80"/>
        <v>5.013333333333</v>
      </c>
      <c r="BL51" s="87">
        <v>8</v>
      </c>
      <c r="BM51" s="87">
        <v>6</v>
      </c>
      <c r="BN51" s="87">
        <v>1</v>
      </c>
      <c r="BO51" s="93">
        <f t="shared" si="81"/>
        <v>1.0989332164255436</v>
      </c>
      <c r="BP51" s="73">
        <f t="shared" si="66"/>
        <v>251.56520481507707</v>
      </c>
      <c r="BQ51" s="91"/>
      <c r="BR51" s="92">
        <v>111</v>
      </c>
      <c r="BS51" s="92">
        <f t="shared" si="82"/>
        <v>1.25</v>
      </c>
      <c r="BT51" s="87">
        <f t="shared" si="83"/>
        <v>0.5</v>
      </c>
      <c r="BU51" s="92">
        <f t="shared" si="84"/>
        <v>5.013333333333</v>
      </c>
      <c r="BV51" s="87">
        <v>8</v>
      </c>
      <c r="BW51" s="87">
        <v>6</v>
      </c>
      <c r="BX51" s="87">
        <v>1</v>
      </c>
      <c r="BY51" s="93">
        <f t="shared" si="85"/>
        <v>1.0752995681642685</v>
      </c>
      <c r="BZ51" s="92">
        <f t="shared" si="86"/>
        <v>331.6531314438018</v>
      </c>
      <c r="CA51" s="91"/>
      <c r="CB51" s="92">
        <v>122</v>
      </c>
      <c r="CC51" s="92">
        <f t="shared" si="87"/>
        <v>3.3333333333333335</v>
      </c>
      <c r="CD51" s="87">
        <f t="shared" si="88"/>
        <v>0.2222222222222222</v>
      </c>
      <c r="CE51" s="92">
        <f>AM51</f>
        <v>5.013333333333</v>
      </c>
      <c r="CF51" s="87">
        <v>8</v>
      </c>
      <c r="CG51" s="87">
        <v>6</v>
      </c>
      <c r="CH51" s="87">
        <v>1</v>
      </c>
      <c r="CI51" s="93">
        <f t="shared" si="89"/>
        <v>0.6756878178518156</v>
      </c>
      <c r="CJ51" s="92">
        <f t="shared" si="90"/>
        <v>215.2908421548401</v>
      </c>
      <c r="CK51" s="91"/>
      <c r="CL51" s="92">
        <v>388</v>
      </c>
      <c r="CM51" s="92">
        <f t="shared" si="91"/>
        <v>2.5</v>
      </c>
      <c r="CN51" s="92">
        <f t="shared" si="92"/>
        <v>0.25</v>
      </c>
      <c r="CO51" s="92">
        <f t="shared" si="93"/>
        <v>5.013333333333</v>
      </c>
      <c r="CP51" s="92">
        <v>8</v>
      </c>
      <c r="CQ51" s="92">
        <v>6</v>
      </c>
      <c r="CR51" s="92">
        <v>1</v>
      </c>
      <c r="CS51" s="92">
        <f t="shared" si="94"/>
        <v>0.7299411776125484</v>
      </c>
      <c r="CT51" s="92">
        <f t="shared" si="95"/>
        <v>208.9371876718091</v>
      </c>
      <c r="CU51" s="91"/>
      <c r="CV51" s="92">
        <v>384</v>
      </c>
      <c r="CW51" s="92">
        <f t="shared" si="96"/>
        <v>2.5</v>
      </c>
      <c r="CX51" s="92">
        <f t="shared" si="97"/>
        <v>0.3076923076923077</v>
      </c>
      <c r="CY51" s="92">
        <f t="shared" si="98"/>
        <v>5.013333333333</v>
      </c>
      <c r="CZ51" s="92">
        <v>8</v>
      </c>
      <c r="DA51" s="92">
        <v>6</v>
      </c>
      <c r="DB51" s="92">
        <v>1</v>
      </c>
      <c r="DC51" s="92">
        <f t="shared" si="99"/>
        <v>0.8733827321084291</v>
      </c>
      <c r="DD51" s="92">
        <f t="shared" si="67"/>
        <v>224.83320917989042</v>
      </c>
      <c r="DE51" s="91"/>
      <c r="DF51" s="92">
        <v>234</v>
      </c>
      <c r="DG51" s="92">
        <f t="shared" si="100"/>
        <v>2.857142857142857</v>
      </c>
      <c r="DH51" s="92">
        <f t="shared" si="101"/>
        <v>0.3333333333333333</v>
      </c>
      <c r="DI51" s="92">
        <f t="shared" si="102"/>
        <v>5.013333333333</v>
      </c>
      <c r="DJ51" s="92">
        <v>8</v>
      </c>
      <c r="DK51" s="92">
        <v>6</v>
      </c>
      <c r="DL51" s="92">
        <v>1</v>
      </c>
      <c r="DM51" s="92">
        <f t="shared" si="103"/>
        <v>0.9524050761164157</v>
      </c>
      <c r="DN51" s="92">
        <f t="shared" si="104"/>
        <v>243.69373415852303</v>
      </c>
      <c r="DO51" s="91"/>
      <c r="DP51" s="92">
        <v>477</v>
      </c>
      <c r="DQ51" s="92">
        <f t="shared" si="105"/>
        <v>3.3333333333333335</v>
      </c>
      <c r="DR51" s="92">
        <f t="shared" si="106"/>
        <v>0.3333333333333333</v>
      </c>
      <c r="DS51" s="92">
        <f t="shared" si="107"/>
        <v>5.013333333333</v>
      </c>
      <c r="DT51" s="92">
        <v>8</v>
      </c>
      <c r="DU51" s="92">
        <v>6</v>
      </c>
      <c r="DV51" s="92">
        <v>1</v>
      </c>
      <c r="DW51" s="92">
        <f t="shared" si="108"/>
        <v>0.9708988560952302</v>
      </c>
      <c r="DX51" s="92">
        <f t="shared" si="109"/>
        <v>252.95610075620374</v>
      </c>
      <c r="DY51" s="91"/>
      <c r="DZ51" s="92">
        <v>9999</v>
      </c>
      <c r="EA51" s="73">
        <f t="shared" si="110"/>
        <v>3.3333333333333335</v>
      </c>
      <c r="EB51" s="73">
        <f t="shared" si="111"/>
        <v>0.3333333333333333</v>
      </c>
      <c r="EC51" s="73">
        <f t="shared" si="112"/>
        <v>5.013333333333</v>
      </c>
      <c r="ED51" s="92">
        <v>8</v>
      </c>
      <c r="EE51" s="92">
        <v>6</v>
      </c>
      <c r="EF51" s="92">
        <v>1</v>
      </c>
      <c r="EG51" s="92">
        <f t="shared" si="113"/>
        <v>0.9708988560952302</v>
      </c>
      <c r="EH51" s="92">
        <f t="shared" si="114"/>
        <v>252.95610075620374</v>
      </c>
      <c r="EI51" s="91"/>
      <c r="EJ51" s="92">
        <v>548</v>
      </c>
      <c r="EK51" s="92">
        <f t="shared" si="115"/>
        <v>5</v>
      </c>
      <c r="EL51" s="92">
        <f t="shared" si="116"/>
        <v>0.36363636363636365</v>
      </c>
      <c r="EM51" s="92">
        <f t="shared" si="117"/>
        <v>5.013333333333</v>
      </c>
      <c r="EN51" s="92">
        <v>8</v>
      </c>
      <c r="EO51" s="92">
        <v>6</v>
      </c>
      <c r="EP51" s="92">
        <v>1</v>
      </c>
      <c r="EQ51" s="92">
        <f t="shared" si="118"/>
        <v>1.0929279423306097</v>
      </c>
      <c r="ER51" s="92">
        <f t="shared" si="119"/>
        <v>282.3992054057294</v>
      </c>
      <c r="ES51" s="91"/>
      <c r="ET51" s="73">
        <v>50</v>
      </c>
      <c r="EU51" s="73">
        <v>0</v>
      </c>
      <c r="EV51" s="73">
        <v>0</v>
      </c>
      <c r="EW51" s="73">
        <v>0</v>
      </c>
      <c r="EX51" s="73">
        <v>50</v>
      </c>
      <c r="EY51" s="73">
        <v>0</v>
      </c>
      <c r="EZ51" s="73">
        <v>0</v>
      </c>
      <c r="FA51" s="73">
        <v>0</v>
      </c>
      <c r="FB51" s="73">
        <v>0</v>
      </c>
      <c r="FC51" s="92">
        <f t="shared" si="120"/>
        <v>239.26616298724613</v>
      </c>
    </row>
    <row r="52" spans="1:159" s="4" customFormat="1" ht="17.25">
      <c r="A52" s="71">
        <v>48</v>
      </c>
      <c r="B52" s="94" t="s">
        <v>44</v>
      </c>
      <c r="C52" s="75">
        <v>1</v>
      </c>
      <c r="D52" s="94">
        <v>2</v>
      </c>
      <c r="E52" s="75">
        <v>500</v>
      </c>
      <c r="F52" s="75">
        <v>1800</v>
      </c>
      <c r="G52" s="94">
        <f t="shared" si="72"/>
        <v>500</v>
      </c>
      <c r="H52" s="94">
        <v>16</v>
      </c>
      <c r="I52" s="72">
        <f t="shared" si="123"/>
        <v>4</v>
      </c>
      <c r="J52" s="94">
        <v>4</v>
      </c>
      <c r="K52" s="94">
        <v>4</v>
      </c>
      <c r="L52" s="94" t="s">
        <v>25</v>
      </c>
      <c r="M52" s="94">
        <v>40</v>
      </c>
      <c r="N52" s="94" t="s">
        <v>25</v>
      </c>
      <c r="O52" s="94" t="s">
        <v>21</v>
      </c>
      <c r="P52" s="77">
        <f t="shared" si="121"/>
        <v>17.878063836426342</v>
      </c>
      <c r="Q52" s="78">
        <f t="shared" si="73"/>
        <v>237.62025382825837</v>
      </c>
      <c r="R52" s="78"/>
      <c r="S52" s="89">
        <v>512</v>
      </c>
      <c r="T52" s="24" t="s">
        <v>26</v>
      </c>
      <c r="U52" s="24" t="s">
        <v>26</v>
      </c>
      <c r="V52" s="94" t="s">
        <v>441</v>
      </c>
      <c r="W52" s="94" t="s">
        <v>27</v>
      </c>
      <c r="X52" s="94" t="s">
        <v>28</v>
      </c>
      <c r="Y52" s="94" t="s">
        <v>28</v>
      </c>
      <c r="Z52" s="95" t="s">
        <v>560</v>
      </c>
      <c r="AA52" s="95" t="s">
        <v>560</v>
      </c>
      <c r="AB52" s="100">
        <v>10</v>
      </c>
      <c r="AC52" s="96">
        <v>2</v>
      </c>
      <c r="AD52" s="97">
        <v>78.75</v>
      </c>
      <c r="AE52" s="98">
        <f>205*C52</f>
        <v>205</v>
      </c>
      <c r="AF52" s="99">
        <v>55</v>
      </c>
      <c r="AG52" s="94"/>
      <c r="AH52" s="91"/>
      <c r="AI52" s="87">
        <f t="shared" si="61"/>
        <v>4</v>
      </c>
      <c r="AJ52" s="91">
        <f t="shared" si="62"/>
        <v>4</v>
      </c>
      <c r="AK52" s="91">
        <f t="shared" si="124"/>
        <v>2</v>
      </c>
      <c r="AL52" s="87">
        <f t="shared" si="64"/>
        <v>3.3333333333333335</v>
      </c>
      <c r="AM52" s="91">
        <f>H52*F52/10000</f>
        <v>2.88</v>
      </c>
      <c r="AN52" s="73">
        <f t="shared" si="74"/>
        <v>1</v>
      </c>
      <c r="AO52" s="87">
        <v>2</v>
      </c>
      <c r="AP52" s="87">
        <v>1</v>
      </c>
      <c r="AQ52" s="87">
        <v>1</v>
      </c>
      <c r="AR52" s="87">
        <v>5</v>
      </c>
      <c r="AS52" s="87">
        <v>5</v>
      </c>
      <c r="AT52" s="87">
        <v>1</v>
      </c>
      <c r="AU52" s="87">
        <v>1</v>
      </c>
      <c r="AV52" s="87">
        <v>2.8</v>
      </c>
      <c r="AW52" s="87">
        <f t="shared" si="75"/>
        <v>4</v>
      </c>
      <c r="AX52" s="87">
        <f t="shared" si="76"/>
        <v>3.4285714285714284</v>
      </c>
      <c r="AY52" s="91">
        <f t="shared" si="69"/>
        <v>3.3488372093023258</v>
      </c>
      <c r="AZ52" s="91">
        <f t="shared" si="77"/>
        <v>3.211267605633802</v>
      </c>
      <c r="BA52" s="91"/>
      <c r="BB52" s="73">
        <v>0.02</v>
      </c>
      <c r="BC52" s="73">
        <f t="shared" si="122"/>
        <v>3.147042253521126</v>
      </c>
      <c r="BD52" s="73">
        <v>4.840412061378459</v>
      </c>
      <c r="BE52" s="87">
        <v>5.680910008889502</v>
      </c>
      <c r="BF52" s="42"/>
      <c r="BG52" s="42"/>
      <c r="BH52" s="92">
        <v>511</v>
      </c>
      <c r="BI52" s="92">
        <f t="shared" si="78"/>
        <v>1.3333333333333333</v>
      </c>
      <c r="BJ52" s="87">
        <f t="shared" si="79"/>
        <v>0.5</v>
      </c>
      <c r="BK52" s="87">
        <f t="shared" si="80"/>
        <v>2.88</v>
      </c>
      <c r="BL52" s="87">
        <v>8</v>
      </c>
      <c r="BM52" s="87">
        <v>6</v>
      </c>
      <c r="BN52" s="87">
        <v>1</v>
      </c>
      <c r="BO52" s="93">
        <f t="shared" si="81"/>
        <v>1.0900832702498109</v>
      </c>
      <c r="BP52" s="73">
        <f t="shared" si="66"/>
        <v>249.64020283325345</v>
      </c>
      <c r="BQ52" s="42"/>
      <c r="BR52" s="92">
        <v>111</v>
      </c>
      <c r="BS52" s="92">
        <f t="shared" si="82"/>
        <v>1.25</v>
      </c>
      <c r="BT52" s="87">
        <f t="shared" si="83"/>
        <v>0.5</v>
      </c>
      <c r="BU52" s="92">
        <f t="shared" si="84"/>
        <v>2.88</v>
      </c>
      <c r="BV52" s="87">
        <v>8</v>
      </c>
      <c r="BW52" s="87">
        <v>6</v>
      </c>
      <c r="BX52" s="87">
        <v>1</v>
      </c>
      <c r="BY52" s="93">
        <f t="shared" si="85"/>
        <v>1.066824714772559</v>
      </c>
      <c r="BZ52" s="92">
        <f t="shared" si="86"/>
        <v>329.2215439870634</v>
      </c>
      <c r="CA52" s="42"/>
      <c r="CB52" s="92">
        <v>122</v>
      </c>
      <c r="CC52" s="92">
        <f t="shared" si="87"/>
        <v>3.3333333333333335</v>
      </c>
      <c r="CD52" s="87">
        <f t="shared" si="88"/>
        <v>0.2222222222222222</v>
      </c>
      <c r="CE52" s="87">
        <f>BJ52</f>
        <v>0.5</v>
      </c>
      <c r="CF52" s="87">
        <v>8</v>
      </c>
      <c r="CG52" s="87">
        <v>6</v>
      </c>
      <c r="CH52" s="87">
        <v>1</v>
      </c>
      <c r="CI52" s="93">
        <f t="shared" si="89"/>
        <v>0.6369426751592357</v>
      </c>
      <c r="CJ52" s="92">
        <f t="shared" si="90"/>
        <v>203.7863154291783</v>
      </c>
      <c r="CK52" s="42"/>
      <c r="CL52" s="92">
        <v>388</v>
      </c>
      <c r="CM52" s="92">
        <f t="shared" si="91"/>
        <v>2.5</v>
      </c>
      <c r="CN52" s="92">
        <f t="shared" si="92"/>
        <v>0.25</v>
      </c>
      <c r="CO52" s="92">
        <f t="shared" si="93"/>
        <v>2.88</v>
      </c>
      <c r="CP52" s="92">
        <v>8</v>
      </c>
      <c r="CQ52" s="92">
        <v>6</v>
      </c>
      <c r="CR52" s="92">
        <v>1</v>
      </c>
      <c r="CS52" s="92">
        <f t="shared" si="94"/>
        <v>0.7260260159322376</v>
      </c>
      <c r="CT52" s="92">
        <f t="shared" si="95"/>
        <v>207.89476893508493</v>
      </c>
      <c r="CU52" s="42"/>
      <c r="CV52" s="92">
        <v>384</v>
      </c>
      <c r="CW52" s="92">
        <f t="shared" si="96"/>
        <v>2.5</v>
      </c>
      <c r="CX52" s="92">
        <f t="shared" si="97"/>
        <v>0.3076923076923077</v>
      </c>
      <c r="CY52" s="92">
        <f t="shared" si="98"/>
        <v>2.88</v>
      </c>
      <c r="CZ52" s="92">
        <v>8</v>
      </c>
      <c r="DA52" s="92">
        <v>6</v>
      </c>
      <c r="DB52" s="92">
        <v>1</v>
      </c>
      <c r="DC52" s="92">
        <f t="shared" si="99"/>
        <v>0.8677835362179102</v>
      </c>
      <c r="DD52" s="92">
        <f t="shared" si="67"/>
        <v>223.49241495908703</v>
      </c>
      <c r="DE52" s="42"/>
      <c r="DF52" s="92">
        <v>234</v>
      </c>
      <c r="DG52" s="92">
        <f t="shared" si="100"/>
        <v>2.857142857142857</v>
      </c>
      <c r="DH52" s="92">
        <f t="shared" si="101"/>
        <v>0.3333333333333333</v>
      </c>
      <c r="DI52" s="92">
        <f t="shared" si="102"/>
        <v>2.88</v>
      </c>
      <c r="DJ52" s="92">
        <v>8</v>
      </c>
      <c r="DK52" s="92">
        <v>6</v>
      </c>
      <c r="DL52" s="92">
        <v>1</v>
      </c>
      <c r="DM52" s="92">
        <f t="shared" si="103"/>
        <v>0.9457506896098778</v>
      </c>
      <c r="DN52" s="92">
        <f t="shared" si="104"/>
        <v>242.10986213310585</v>
      </c>
      <c r="DO52" s="42"/>
      <c r="DP52" s="92">
        <v>477</v>
      </c>
      <c r="DQ52" s="92">
        <f t="shared" si="105"/>
        <v>3.3333333333333335</v>
      </c>
      <c r="DR52" s="92">
        <f t="shared" si="106"/>
        <v>0.3333333333333333</v>
      </c>
      <c r="DS52" s="92">
        <f t="shared" si="107"/>
        <v>2.88</v>
      </c>
      <c r="DT52" s="92">
        <v>8</v>
      </c>
      <c r="DU52" s="92">
        <v>6</v>
      </c>
      <c r="DV52" s="92">
        <v>1</v>
      </c>
      <c r="DW52" s="92">
        <f t="shared" si="108"/>
        <v>0.9639844691391084</v>
      </c>
      <c r="DX52" s="92">
        <f t="shared" si="109"/>
        <v>251.2803234244353</v>
      </c>
      <c r="DY52" s="42"/>
      <c r="DZ52" s="92">
        <v>9999</v>
      </c>
      <c r="EA52" s="73">
        <f t="shared" si="110"/>
        <v>3.3333333333333335</v>
      </c>
      <c r="EB52" s="73">
        <f t="shared" si="111"/>
        <v>0.3333333333333333</v>
      </c>
      <c r="EC52" s="73">
        <f t="shared" si="112"/>
        <v>2.88</v>
      </c>
      <c r="ED52" s="92">
        <v>8</v>
      </c>
      <c r="EE52" s="92">
        <v>6</v>
      </c>
      <c r="EF52" s="92">
        <v>1</v>
      </c>
      <c r="EG52" s="92">
        <f t="shared" si="113"/>
        <v>0.9639844691391084</v>
      </c>
      <c r="EH52" s="92">
        <f t="shared" si="114"/>
        <v>251.2803234244353</v>
      </c>
      <c r="EI52" s="42"/>
      <c r="EJ52" s="92">
        <v>548</v>
      </c>
      <c r="EK52" s="92">
        <f t="shared" si="115"/>
        <v>5</v>
      </c>
      <c r="EL52" s="92">
        <f t="shared" si="116"/>
        <v>0.36363636363636365</v>
      </c>
      <c r="EM52" s="92">
        <f t="shared" si="117"/>
        <v>2.88</v>
      </c>
      <c r="EN52" s="92">
        <v>8</v>
      </c>
      <c r="EO52" s="92">
        <v>6</v>
      </c>
      <c r="EP52" s="92">
        <v>1</v>
      </c>
      <c r="EQ52" s="92">
        <f t="shared" si="118"/>
        <v>1.084174070170155</v>
      </c>
      <c r="ER52" s="92">
        <f t="shared" si="119"/>
        <v>280.29505311466266</v>
      </c>
      <c r="ES52" s="42"/>
      <c r="ET52" s="73">
        <v>50</v>
      </c>
      <c r="EU52" s="73">
        <v>0</v>
      </c>
      <c r="EV52" s="73">
        <v>0</v>
      </c>
      <c r="EW52" s="73">
        <v>0</v>
      </c>
      <c r="EX52" s="73">
        <v>50</v>
      </c>
      <c r="EY52" s="73">
        <v>0</v>
      </c>
      <c r="EZ52" s="73">
        <v>0</v>
      </c>
      <c r="FA52" s="73">
        <v>0</v>
      </c>
      <c r="FB52" s="73">
        <v>0</v>
      </c>
      <c r="FC52" s="92">
        <f t="shared" si="120"/>
        <v>237.62025382825837</v>
      </c>
    </row>
    <row r="53" spans="1:159" s="4" customFormat="1" ht="17.25">
      <c r="A53" s="71">
        <v>49</v>
      </c>
      <c r="B53" s="94" t="s">
        <v>452</v>
      </c>
      <c r="C53" s="75">
        <v>1</v>
      </c>
      <c r="D53" s="94">
        <v>2</v>
      </c>
      <c r="E53" s="75">
        <v>650</v>
      </c>
      <c r="F53" s="75">
        <v>2000</v>
      </c>
      <c r="G53" s="94">
        <f t="shared" si="72"/>
        <v>650</v>
      </c>
      <c r="H53" s="94">
        <v>256</v>
      </c>
      <c r="I53" s="72">
        <f t="shared" si="123"/>
        <v>16</v>
      </c>
      <c r="J53" s="94">
        <v>16</v>
      </c>
      <c r="K53" s="94">
        <v>16</v>
      </c>
      <c r="L53" s="100" t="s">
        <v>453</v>
      </c>
      <c r="M53" s="94">
        <v>48</v>
      </c>
      <c r="N53" s="100" t="s">
        <v>453</v>
      </c>
      <c r="O53" s="94">
        <v>8</v>
      </c>
      <c r="P53" s="77">
        <f t="shared" si="121"/>
        <v>139.3645357813221</v>
      </c>
      <c r="Q53" s="78"/>
      <c r="R53" s="78"/>
      <c r="S53" s="89">
        <v>512</v>
      </c>
      <c r="T53" s="102">
        <v>35</v>
      </c>
      <c r="U53" s="102">
        <v>140</v>
      </c>
      <c r="V53" s="94" t="s">
        <v>55</v>
      </c>
      <c r="W53" s="94" t="s">
        <v>42</v>
      </c>
      <c r="X53" s="14" t="s">
        <v>41</v>
      </c>
      <c r="Y53" s="94" t="s">
        <v>40</v>
      </c>
      <c r="Z53" s="95">
        <v>9</v>
      </c>
      <c r="AA53" s="124" t="s">
        <v>559</v>
      </c>
      <c r="AB53" s="94" t="s">
        <v>454</v>
      </c>
      <c r="AC53" s="96">
        <v>4</v>
      </c>
      <c r="AD53" s="97">
        <v>352</v>
      </c>
      <c r="AE53" s="98">
        <f>384*C53</f>
        <v>384</v>
      </c>
      <c r="AF53" s="99">
        <v>90</v>
      </c>
      <c r="AG53" s="94"/>
      <c r="AH53" s="91"/>
      <c r="AI53" s="87">
        <f aca="true" t="shared" si="125" ref="AI53:AI72">I53*E53/1000</f>
        <v>10.4</v>
      </c>
      <c r="AJ53" s="91">
        <f aca="true" t="shared" si="126" ref="AJ53:AJ72">J53*E53/1000</f>
        <v>10.4</v>
      </c>
      <c r="AK53" s="91">
        <f t="shared" si="124"/>
        <v>10.4</v>
      </c>
      <c r="AL53" s="87">
        <f aca="true" t="shared" si="127" ref="AL53:AL60">M53*G53/1200</f>
        <v>26</v>
      </c>
      <c r="AM53" s="92">
        <f aca="true" t="shared" si="128" ref="AM53:AM72">H53*F53/(8750+250*AC53)</f>
        <v>52.51282051282051</v>
      </c>
      <c r="AN53" s="73">
        <f t="shared" si="74"/>
        <v>1</v>
      </c>
      <c r="AO53" s="87">
        <v>2</v>
      </c>
      <c r="AP53" s="87">
        <v>1</v>
      </c>
      <c r="AQ53" s="87">
        <v>1</v>
      </c>
      <c r="AR53" s="87">
        <v>5</v>
      </c>
      <c r="AS53" s="87">
        <v>5</v>
      </c>
      <c r="AT53" s="87">
        <v>1</v>
      </c>
      <c r="AU53" s="87">
        <v>1</v>
      </c>
      <c r="AV53" s="87">
        <v>2.8</v>
      </c>
      <c r="AW53" s="87">
        <f t="shared" si="75"/>
        <v>10.4</v>
      </c>
      <c r="AX53" s="87">
        <f t="shared" si="76"/>
        <v>10.4</v>
      </c>
      <c r="AY53" s="91">
        <f t="shared" si="69"/>
        <v>20.8</v>
      </c>
      <c r="AZ53" s="91">
        <f t="shared" si="77"/>
        <v>24.730188218039597</v>
      </c>
      <c r="BA53" s="91"/>
      <c r="BB53" s="73">
        <v>0.02</v>
      </c>
      <c r="BC53" s="73">
        <f t="shared" si="122"/>
        <v>24.235584453678804</v>
      </c>
      <c r="BD53" s="73">
        <v>4.840412061378459</v>
      </c>
      <c r="BE53" s="87">
        <v>5.7504095289176105</v>
      </c>
      <c r="BF53" s="42"/>
      <c r="BG53" s="42"/>
      <c r="BH53" s="42"/>
      <c r="BI53" s="42"/>
      <c r="BJ53" s="42"/>
      <c r="BK53" s="42"/>
      <c r="BL53" s="42"/>
      <c r="BM53" s="42"/>
      <c r="BN53" s="42"/>
      <c r="BO53" s="70"/>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row>
    <row r="54" spans="1:159" s="4" customFormat="1" ht="17.25">
      <c r="A54" s="71">
        <v>50</v>
      </c>
      <c r="B54" s="94" t="s">
        <v>455</v>
      </c>
      <c r="C54" s="75">
        <v>1</v>
      </c>
      <c r="D54" s="94">
        <v>2</v>
      </c>
      <c r="E54" s="75">
        <v>625</v>
      </c>
      <c r="F54" s="75">
        <v>1800</v>
      </c>
      <c r="G54" s="94">
        <f t="shared" si="72"/>
        <v>625</v>
      </c>
      <c r="H54" s="94">
        <v>256</v>
      </c>
      <c r="I54" s="72">
        <f t="shared" si="123"/>
        <v>16</v>
      </c>
      <c r="J54" s="94">
        <v>16</v>
      </c>
      <c r="K54" s="94">
        <v>16</v>
      </c>
      <c r="L54" s="100" t="s">
        <v>453</v>
      </c>
      <c r="M54" s="94">
        <v>48</v>
      </c>
      <c r="N54" s="100" t="s">
        <v>453</v>
      </c>
      <c r="O54" s="94">
        <v>8</v>
      </c>
      <c r="P54" s="77">
        <f t="shared" si="121"/>
        <v>133.3272058515589</v>
      </c>
      <c r="Q54" s="78"/>
      <c r="R54" s="78"/>
      <c r="S54" s="89">
        <v>256</v>
      </c>
      <c r="T54" s="102">
        <v>30</v>
      </c>
      <c r="U54" s="102">
        <v>110</v>
      </c>
      <c r="V54" s="94" t="s">
        <v>55</v>
      </c>
      <c r="W54" s="94" t="s">
        <v>42</v>
      </c>
      <c r="X54" s="14" t="s">
        <v>41</v>
      </c>
      <c r="Y54" s="94" t="s">
        <v>40</v>
      </c>
      <c r="Z54" s="95">
        <v>9</v>
      </c>
      <c r="AA54" s="124" t="s">
        <v>559</v>
      </c>
      <c r="AB54" s="94" t="s">
        <v>454</v>
      </c>
      <c r="AC54" s="96">
        <v>3</v>
      </c>
      <c r="AD54" s="97">
        <v>352</v>
      </c>
      <c r="AE54" s="98">
        <f>384*C54</f>
        <v>384</v>
      </c>
      <c r="AF54" s="99">
        <v>90</v>
      </c>
      <c r="AG54" s="94"/>
      <c r="AH54" s="91"/>
      <c r="AI54" s="87">
        <f t="shared" si="125"/>
        <v>10</v>
      </c>
      <c r="AJ54" s="91">
        <f t="shared" si="126"/>
        <v>10</v>
      </c>
      <c r="AK54" s="91">
        <f t="shared" si="124"/>
        <v>10</v>
      </c>
      <c r="AL54" s="87">
        <f t="shared" si="127"/>
        <v>25</v>
      </c>
      <c r="AM54" s="92">
        <f t="shared" si="128"/>
        <v>48.50526315789474</v>
      </c>
      <c r="AN54" s="73">
        <f t="shared" si="74"/>
        <v>1</v>
      </c>
      <c r="AO54" s="87">
        <v>2</v>
      </c>
      <c r="AP54" s="87">
        <v>1</v>
      </c>
      <c r="AQ54" s="87">
        <v>1</v>
      </c>
      <c r="AR54" s="87">
        <v>5</v>
      </c>
      <c r="AS54" s="87">
        <v>5</v>
      </c>
      <c r="AT54" s="87">
        <v>1</v>
      </c>
      <c r="AU54" s="87">
        <v>1</v>
      </c>
      <c r="AV54" s="87">
        <v>2.8</v>
      </c>
      <c r="AW54" s="87">
        <f t="shared" si="75"/>
        <v>10</v>
      </c>
      <c r="AX54" s="87">
        <f t="shared" si="76"/>
        <v>10</v>
      </c>
      <c r="AY54" s="91">
        <f t="shared" si="69"/>
        <v>20</v>
      </c>
      <c r="AZ54" s="91">
        <f t="shared" si="77"/>
        <v>23.65886612981679</v>
      </c>
      <c r="BA54" s="91"/>
      <c r="BB54" s="73">
        <v>0.02</v>
      </c>
      <c r="BC54" s="73">
        <f t="shared" si="122"/>
        <v>23.185688807220455</v>
      </c>
      <c r="BD54" s="73">
        <v>4.840412061378459</v>
      </c>
      <c r="BE54" s="87">
        <v>5.7504095289176105</v>
      </c>
      <c r="BF54" s="42"/>
      <c r="BG54" s="42"/>
      <c r="BH54" s="42"/>
      <c r="BI54" s="42"/>
      <c r="BJ54" s="42"/>
      <c r="BK54" s="42"/>
      <c r="BL54" s="42"/>
      <c r="BM54" s="42"/>
      <c r="BN54" s="42"/>
      <c r="BO54" s="70"/>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row>
    <row r="55" spans="1:159" s="4" customFormat="1" ht="17.25">
      <c r="A55" s="71">
        <v>51</v>
      </c>
      <c r="B55" s="94" t="s">
        <v>456</v>
      </c>
      <c r="C55" s="75">
        <v>1</v>
      </c>
      <c r="D55" s="94">
        <v>2</v>
      </c>
      <c r="E55" s="75">
        <v>625</v>
      </c>
      <c r="F55" s="75">
        <v>1800</v>
      </c>
      <c r="G55" s="94">
        <f t="shared" si="72"/>
        <v>625</v>
      </c>
      <c r="H55" s="94">
        <v>256</v>
      </c>
      <c r="I55" s="72">
        <f t="shared" si="123"/>
        <v>12</v>
      </c>
      <c r="J55" s="94">
        <v>12</v>
      </c>
      <c r="K55" s="94">
        <v>12</v>
      </c>
      <c r="L55" s="100" t="s">
        <v>453</v>
      </c>
      <c r="M55" s="94">
        <v>36</v>
      </c>
      <c r="N55" s="100" t="s">
        <v>453</v>
      </c>
      <c r="O55" s="94">
        <v>8</v>
      </c>
      <c r="P55" s="77">
        <f t="shared" si="121"/>
        <v>103.31057790826223</v>
      </c>
      <c r="Q55" s="78"/>
      <c r="R55" s="78"/>
      <c r="S55" s="89">
        <v>256</v>
      </c>
      <c r="T55" s="102">
        <v>25</v>
      </c>
      <c r="U55" s="102">
        <v>75</v>
      </c>
      <c r="V55" s="94" t="s">
        <v>55</v>
      </c>
      <c r="W55" s="94" t="s">
        <v>42</v>
      </c>
      <c r="X55" s="14" t="s">
        <v>41</v>
      </c>
      <c r="Y55" s="94" t="s">
        <v>23</v>
      </c>
      <c r="Z55" s="95">
        <v>9</v>
      </c>
      <c r="AA55" s="124" t="s">
        <v>559</v>
      </c>
      <c r="AB55" s="94" t="s">
        <v>454</v>
      </c>
      <c r="AC55" s="96">
        <v>3</v>
      </c>
      <c r="AD55" s="97">
        <v>230</v>
      </c>
      <c r="AE55" s="98">
        <f>330*C55</f>
        <v>330</v>
      </c>
      <c r="AF55" s="99">
        <v>80</v>
      </c>
      <c r="AG55" s="94"/>
      <c r="AH55" s="91"/>
      <c r="AI55" s="87">
        <f t="shared" si="125"/>
        <v>7.5</v>
      </c>
      <c r="AJ55" s="91">
        <f t="shared" si="126"/>
        <v>7.5</v>
      </c>
      <c r="AK55" s="91">
        <f t="shared" si="124"/>
        <v>7.5</v>
      </c>
      <c r="AL55" s="87">
        <f t="shared" si="127"/>
        <v>18.75</v>
      </c>
      <c r="AM55" s="92">
        <f t="shared" si="128"/>
        <v>48.50526315789474</v>
      </c>
      <c r="AN55" s="73">
        <f t="shared" si="74"/>
        <v>1</v>
      </c>
      <c r="AO55" s="87">
        <v>2</v>
      </c>
      <c r="AP55" s="87">
        <v>1</v>
      </c>
      <c r="AQ55" s="87">
        <v>1</v>
      </c>
      <c r="AR55" s="87">
        <v>5</v>
      </c>
      <c r="AS55" s="87">
        <v>5</v>
      </c>
      <c r="AT55" s="87">
        <v>1</v>
      </c>
      <c r="AU55" s="87">
        <v>1</v>
      </c>
      <c r="AV55" s="87">
        <v>2.8</v>
      </c>
      <c r="AW55" s="87">
        <f t="shared" si="75"/>
        <v>7.5</v>
      </c>
      <c r="AX55" s="87">
        <f t="shared" si="76"/>
        <v>7.5</v>
      </c>
      <c r="AY55" s="91">
        <f t="shared" si="69"/>
        <v>15</v>
      </c>
      <c r="AZ55" s="91">
        <f t="shared" si="77"/>
        <v>18.33242598098748</v>
      </c>
      <c r="BA55" s="91"/>
      <c r="BB55" s="73">
        <v>0.02</v>
      </c>
      <c r="BC55" s="73">
        <f t="shared" si="122"/>
        <v>17.96577746136773</v>
      </c>
      <c r="BD55" s="73">
        <v>4.840412061378459</v>
      </c>
      <c r="BE55" s="87">
        <v>5.7504095289176105</v>
      </c>
      <c r="BF55" s="42"/>
      <c r="BG55" s="42"/>
      <c r="BH55" s="42"/>
      <c r="BI55" s="42"/>
      <c r="BJ55" s="42"/>
      <c r="BK55" s="42"/>
      <c r="BL55" s="42"/>
      <c r="BM55" s="42"/>
      <c r="BN55" s="42"/>
      <c r="BO55" s="70"/>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row>
    <row r="56" spans="1:159" s="4" customFormat="1" ht="17.25">
      <c r="A56" s="71">
        <v>52</v>
      </c>
      <c r="B56" s="94" t="s">
        <v>457</v>
      </c>
      <c r="C56" s="75">
        <v>1</v>
      </c>
      <c r="D56" s="94">
        <v>2</v>
      </c>
      <c r="E56" s="75">
        <v>500</v>
      </c>
      <c r="F56" s="75">
        <v>1200</v>
      </c>
      <c r="G56" s="94">
        <f t="shared" si="72"/>
        <v>500</v>
      </c>
      <c r="H56" s="94">
        <v>256</v>
      </c>
      <c r="I56" s="72">
        <f t="shared" si="123"/>
        <v>12</v>
      </c>
      <c r="J56" s="94">
        <v>12</v>
      </c>
      <c r="K56" s="94">
        <v>12</v>
      </c>
      <c r="L56" s="100" t="s">
        <v>453</v>
      </c>
      <c r="M56" s="94">
        <v>36</v>
      </c>
      <c r="N56" s="100" t="s">
        <v>453</v>
      </c>
      <c r="O56" s="94">
        <v>8</v>
      </c>
      <c r="P56" s="77">
        <f t="shared" si="121"/>
        <v>81.03648812914163</v>
      </c>
      <c r="Q56" s="78"/>
      <c r="R56" s="78"/>
      <c r="S56" s="89">
        <v>256</v>
      </c>
      <c r="T56" s="102">
        <v>25</v>
      </c>
      <c r="U56" s="102">
        <v>70</v>
      </c>
      <c r="V56" s="94" t="s">
        <v>55</v>
      </c>
      <c r="W56" s="94" t="s">
        <v>42</v>
      </c>
      <c r="X56" s="14" t="s">
        <v>41</v>
      </c>
      <c r="Y56" s="94" t="s">
        <v>23</v>
      </c>
      <c r="Z56" s="95">
        <v>9</v>
      </c>
      <c r="AA56" s="124" t="s">
        <v>559</v>
      </c>
      <c r="AB56" s="94" t="s">
        <v>454</v>
      </c>
      <c r="AC56" s="96">
        <v>3</v>
      </c>
      <c r="AD56" s="97">
        <v>230</v>
      </c>
      <c r="AE56" s="98">
        <f>330*C56</f>
        <v>330</v>
      </c>
      <c r="AF56" s="99">
        <v>80</v>
      </c>
      <c r="AG56" s="94"/>
      <c r="AH56" s="91"/>
      <c r="AI56" s="87">
        <f t="shared" si="125"/>
        <v>6</v>
      </c>
      <c r="AJ56" s="91">
        <f t="shared" si="126"/>
        <v>6</v>
      </c>
      <c r="AK56" s="91">
        <f t="shared" si="124"/>
        <v>6</v>
      </c>
      <c r="AL56" s="87">
        <f t="shared" si="127"/>
        <v>15</v>
      </c>
      <c r="AM56" s="92">
        <f t="shared" si="128"/>
        <v>32.33684210526316</v>
      </c>
      <c r="AN56" s="73">
        <f t="shared" si="74"/>
        <v>1</v>
      </c>
      <c r="AO56" s="87">
        <v>2</v>
      </c>
      <c r="AP56" s="87">
        <v>1</v>
      </c>
      <c r="AQ56" s="87">
        <v>1</v>
      </c>
      <c r="AR56" s="87">
        <v>5</v>
      </c>
      <c r="AS56" s="87">
        <v>5</v>
      </c>
      <c r="AT56" s="87">
        <v>1</v>
      </c>
      <c r="AU56" s="87">
        <v>1</v>
      </c>
      <c r="AV56" s="87">
        <v>2.8</v>
      </c>
      <c r="AW56" s="87">
        <f t="shared" si="75"/>
        <v>6</v>
      </c>
      <c r="AX56" s="87">
        <f t="shared" si="76"/>
        <v>6</v>
      </c>
      <c r="AY56" s="91">
        <f t="shared" si="69"/>
        <v>12</v>
      </c>
      <c r="AZ56" s="91">
        <f t="shared" si="77"/>
        <v>14.37989652623799</v>
      </c>
      <c r="BA56" s="91"/>
      <c r="BB56" s="73">
        <v>0.02</v>
      </c>
      <c r="BC56" s="73">
        <f t="shared" si="122"/>
        <v>14.092298595713231</v>
      </c>
      <c r="BD56" s="73">
        <v>4.840412061378459</v>
      </c>
      <c r="BE56" s="87">
        <v>5.7504095289176105</v>
      </c>
      <c r="BF56" s="42"/>
      <c r="BG56" s="42"/>
      <c r="BH56" s="42"/>
      <c r="BI56" s="42"/>
      <c r="BJ56" s="42"/>
      <c r="BK56" s="42"/>
      <c r="BL56" s="42"/>
      <c r="BM56" s="42"/>
      <c r="BN56" s="42"/>
      <c r="BO56" s="70"/>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row>
    <row r="57" spans="1:159" s="4" customFormat="1" ht="17.25">
      <c r="A57" s="71">
        <v>53</v>
      </c>
      <c r="B57" s="94" t="s">
        <v>31</v>
      </c>
      <c r="C57" s="75">
        <v>1</v>
      </c>
      <c r="D57" s="94">
        <v>2</v>
      </c>
      <c r="E57" s="75">
        <v>650</v>
      </c>
      <c r="F57" s="75">
        <v>1550</v>
      </c>
      <c r="G57" s="94">
        <f t="shared" si="72"/>
        <v>650</v>
      </c>
      <c r="H57" s="94">
        <v>256</v>
      </c>
      <c r="I57" s="72">
        <f t="shared" si="123"/>
        <v>16</v>
      </c>
      <c r="J57" s="94">
        <v>16</v>
      </c>
      <c r="K57" s="94">
        <v>16</v>
      </c>
      <c r="L57" s="100" t="s">
        <v>453</v>
      </c>
      <c r="M57" s="94">
        <v>48</v>
      </c>
      <c r="N57" s="100" t="s">
        <v>453</v>
      </c>
      <c r="O57" s="94">
        <v>8</v>
      </c>
      <c r="P57" s="77">
        <f t="shared" si="121"/>
        <v>135.0589145396981</v>
      </c>
      <c r="Q57" s="78"/>
      <c r="R57" s="78"/>
      <c r="S57" s="89">
        <v>521</v>
      </c>
      <c r="T57" s="102">
        <v>30</v>
      </c>
      <c r="U57" s="102">
        <v>135</v>
      </c>
      <c r="V57" s="94" t="s">
        <v>55</v>
      </c>
      <c r="W57" s="94" t="s">
        <v>42</v>
      </c>
      <c r="X57" s="14" t="s">
        <v>41</v>
      </c>
      <c r="Y57" s="94" t="s">
        <v>40</v>
      </c>
      <c r="Z57" s="95">
        <v>9</v>
      </c>
      <c r="AA57" s="124" t="s">
        <v>559</v>
      </c>
      <c r="AB57" s="94" t="s">
        <v>454</v>
      </c>
      <c r="AC57" s="96">
        <v>3</v>
      </c>
      <c r="AD57" s="97">
        <v>352</v>
      </c>
      <c r="AE57" s="98">
        <f>384*C57</f>
        <v>384</v>
      </c>
      <c r="AF57" s="99">
        <v>90</v>
      </c>
      <c r="AG57" s="94"/>
      <c r="AH57" s="91"/>
      <c r="AI57" s="87">
        <f t="shared" si="125"/>
        <v>10.4</v>
      </c>
      <c r="AJ57" s="91">
        <f t="shared" si="126"/>
        <v>10.4</v>
      </c>
      <c r="AK57" s="91">
        <f t="shared" si="124"/>
        <v>10.4</v>
      </c>
      <c r="AL57" s="87">
        <f t="shared" si="127"/>
        <v>26</v>
      </c>
      <c r="AM57" s="92">
        <f t="shared" si="128"/>
        <v>41.76842105263158</v>
      </c>
      <c r="AN57" s="73">
        <f>POWER(INT(MIN(C57,D57)),0.7)+LN(INT(MIN(C57,D57)))*0.38</f>
        <v>1</v>
      </c>
      <c r="AO57" s="87">
        <v>2</v>
      </c>
      <c r="AP57" s="87">
        <v>1</v>
      </c>
      <c r="AQ57" s="87">
        <v>1</v>
      </c>
      <c r="AR57" s="87">
        <v>5</v>
      </c>
      <c r="AS57" s="87">
        <v>5</v>
      </c>
      <c r="AT57" s="87">
        <v>1</v>
      </c>
      <c r="AU57" s="87">
        <v>1</v>
      </c>
      <c r="AV57" s="87">
        <v>2.8</v>
      </c>
      <c r="AW57" s="87">
        <f t="shared" si="75"/>
        <v>10.4</v>
      </c>
      <c r="AX57" s="87">
        <f t="shared" si="76"/>
        <v>10.4</v>
      </c>
      <c r="AY57" s="91">
        <f t="shared" si="69"/>
        <v>20.8</v>
      </c>
      <c r="AZ57" s="91">
        <f t="shared" si="77"/>
        <v>23.966157231935444</v>
      </c>
      <c r="BA57" s="91"/>
      <c r="BB57" s="73">
        <v>0.02</v>
      </c>
      <c r="BC57" s="73">
        <f t="shared" si="122"/>
        <v>23.486834087296735</v>
      </c>
      <c r="BD57" s="73">
        <v>4.840412061378459</v>
      </c>
      <c r="BE57" s="87">
        <v>5.7504095289176105</v>
      </c>
      <c r="BF57" s="42"/>
      <c r="BG57" s="42"/>
      <c r="BH57" s="42"/>
      <c r="BI57" s="42"/>
      <c r="BJ57" s="42"/>
      <c r="BK57" s="42"/>
      <c r="BL57" s="42"/>
      <c r="BM57" s="42"/>
      <c r="BN57" s="42"/>
      <c r="BO57" s="70"/>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row>
    <row r="58" spans="1:159" s="4" customFormat="1" ht="17.25">
      <c r="A58" s="71">
        <v>54</v>
      </c>
      <c r="B58" s="94" t="s">
        <v>458</v>
      </c>
      <c r="C58" s="75">
        <v>1</v>
      </c>
      <c r="D58" s="94">
        <v>2</v>
      </c>
      <c r="E58" s="75">
        <v>500</v>
      </c>
      <c r="F58" s="75">
        <v>1000</v>
      </c>
      <c r="G58" s="94">
        <f t="shared" si="72"/>
        <v>500</v>
      </c>
      <c r="H58" s="94">
        <v>256</v>
      </c>
      <c r="I58" s="72">
        <f t="shared" si="123"/>
        <v>16</v>
      </c>
      <c r="J58" s="94">
        <v>16</v>
      </c>
      <c r="K58" s="94">
        <v>16</v>
      </c>
      <c r="L58" s="100" t="s">
        <v>453</v>
      </c>
      <c r="M58" s="94">
        <v>48</v>
      </c>
      <c r="N58" s="100" t="s">
        <v>453</v>
      </c>
      <c r="O58" s="94">
        <v>8</v>
      </c>
      <c r="P58" s="77">
        <f t="shared" si="121"/>
        <v>100.95982360840571</v>
      </c>
      <c r="Q58" s="78"/>
      <c r="R58" s="78"/>
      <c r="S58" s="89">
        <v>521</v>
      </c>
      <c r="T58" s="102">
        <v>30</v>
      </c>
      <c r="U58" s="102">
        <v>90</v>
      </c>
      <c r="V58" s="94" t="s">
        <v>55</v>
      </c>
      <c r="W58" s="94" t="s">
        <v>42</v>
      </c>
      <c r="X58" s="14" t="s">
        <v>41</v>
      </c>
      <c r="Y58" s="94" t="s">
        <v>23</v>
      </c>
      <c r="Z58" s="95">
        <v>10</v>
      </c>
      <c r="AA58" s="124" t="s">
        <v>559</v>
      </c>
      <c r="AB58" s="94" t="s">
        <v>454</v>
      </c>
      <c r="AC58" s="96">
        <v>3</v>
      </c>
      <c r="AD58" s="97">
        <v>352</v>
      </c>
      <c r="AE58" s="98">
        <f>384*C58</f>
        <v>384</v>
      </c>
      <c r="AF58" s="99">
        <v>90</v>
      </c>
      <c r="AG58" s="94"/>
      <c r="AH58" s="91"/>
      <c r="AI58" s="87">
        <f t="shared" si="125"/>
        <v>8</v>
      </c>
      <c r="AJ58" s="91">
        <f t="shared" si="126"/>
        <v>8</v>
      </c>
      <c r="AK58" s="91">
        <f t="shared" si="124"/>
        <v>8</v>
      </c>
      <c r="AL58" s="87">
        <f t="shared" si="127"/>
        <v>20</v>
      </c>
      <c r="AM58" s="92">
        <f t="shared" si="128"/>
        <v>26.94736842105263</v>
      </c>
      <c r="AN58" s="73">
        <f aca="true" t="shared" si="129" ref="AN58:AN72">POWER(INT(MIN(C58,D58)),0.7)+LN(INT(MIN(C58,D58)))*0.23</f>
        <v>1</v>
      </c>
      <c r="AO58" s="87">
        <v>2</v>
      </c>
      <c r="AP58" s="87">
        <v>1</v>
      </c>
      <c r="AQ58" s="87">
        <v>1</v>
      </c>
      <c r="AR58" s="87">
        <v>5</v>
      </c>
      <c r="AS58" s="87">
        <v>5</v>
      </c>
      <c r="AT58" s="87">
        <v>1</v>
      </c>
      <c r="AU58" s="87">
        <v>1</v>
      </c>
      <c r="AV58" s="87">
        <v>2.8</v>
      </c>
      <c r="AW58" s="87">
        <f t="shared" si="75"/>
        <v>8</v>
      </c>
      <c r="AX58" s="87">
        <f t="shared" si="76"/>
        <v>8</v>
      </c>
      <c r="AY58" s="91">
        <f t="shared" si="69"/>
        <v>16</v>
      </c>
      <c r="AZ58" s="91">
        <f t="shared" si="77"/>
        <v>17.915285451197054</v>
      </c>
      <c r="BA58" s="91"/>
      <c r="BB58" s="73">
        <v>0.02</v>
      </c>
      <c r="BC58" s="73">
        <f t="shared" si="122"/>
        <v>17.556979742173112</v>
      </c>
      <c r="BD58" s="73">
        <v>4.840412061378459</v>
      </c>
      <c r="BE58" s="87">
        <v>5.7504095289176105</v>
      </c>
      <c r="BF58" s="42"/>
      <c r="BG58" s="42"/>
      <c r="BH58" s="42"/>
      <c r="BI58" s="42"/>
      <c r="BJ58" s="42"/>
      <c r="BK58" s="42"/>
      <c r="BL58" s="42"/>
      <c r="BM58" s="42"/>
      <c r="BN58" s="42"/>
      <c r="BO58" s="70"/>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row>
    <row r="59" spans="1:159" s="4" customFormat="1" ht="17.25">
      <c r="A59" s="71">
        <v>55</v>
      </c>
      <c r="B59" s="94" t="s">
        <v>459</v>
      </c>
      <c r="C59" s="75">
        <v>1</v>
      </c>
      <c r="D59" s="94">
        <v>2</v>
      </c>
      <c r="E59" s="75">
        <v>625</v>
      </c>
      <c r="F59" s="75">
        <v>1450</v>
      </c>
      <c r="G59" s="94">
        <f t="shared" si="72"/>
        <v>625</v>
      </c>
      <c r="H59" s="94">
        <v>256</v>
      </c>
      <c r="I59" s="72">
        <f t="shared" si="123"/>
        <v>16</v>
      </c>
      <c r="J59" s="94">
        <v>16</v>
      </c>
      <c r="K59" s="94">
        <v>16</v>
      </c>
      <c r="L59" s="100" t="s">
        <v>453</v>
      </c>
      <c r="M59" s="94">
        <v>48</v>
      </c>
      <c r="N59" s="100" t="s">
        <v>453</v>
      </c>
      <c r="O59" s="94">
        <v>8</v>
      </c>
      <c r="P59" s="77">
        <f t="shared" si="121"/>
        <v>129.32048727480677</v>
      </c>
      <c r="Q59" s="78"/>
      <c r="R59" s="78"/>
      <c r="S59" s="89">
        <v>256</v>
      </c>
      <c r="T59" s="102">
        <v>30</v>
      </c>
      <c r="U59" s="102">
        <v>130</v>
      </c>
      <c r="V59" s="94" t="s">
        <v>55</v>
      </c>
      <c r="W59" s="94" t="s">
        <v>42</v>
      </c>
      <c r="X59" s="14" t="s">
        <v>41</v>
      </c>
      <c r="Y59" s="94" t="s">
        <v>40</v>
      </c>
      <c r="Z59" s="95">
        <v>9</v>
      </c>
      <c r="AA59" s="124" t="s">
        <v>559</v>
      </c>
      <c r="AB59" s="94" t="s">
        <v>454</v>
      </c>
      <c r="AC59" s="96">
        <v>3</v>
      </c>
      <c r="AD59" s="97">
        <v>352</v>
      </c>
      <c r="AE59" s="98">
        <f>384*C59</f>
        <v>384</v>
      </c>
      <c r="AF59" s="99">
        <v>90</v>
      </c>
      <c r="AG59" s="94"/>
      <c r="AH59" s="91"/>
      <c r="AI59" s="87">
        <f t="shared" si="125"/>
        <v>10</v>
      </c>
      <c r="AJ59" s="91">
        <f t="shared" si="126"/>
        <v>10</v>
      </c>
      <c r="AK59" s="91">
        <f t="shared" si="124"/>
        <v>10</v>
      </c>
      <c r="AL59" s="87">
        <f t="shared" si="127"/>
        <v>25</v>
      </c>
      <c r="AM59" s="92">
        <f t="shared" si="128"/>
        <v>39.07368421052632</v>
      </c>
      <c r="AN59" s="73">
        <f t="shared" si="129"/>
        <v>1</v>
      </c>
      <c r="AO59" s="87">
        <v>2</v>
      </c>
      <c r="AP59" s="87">
        <v>1</v>
      </c>
      <c r="AQ59" s="87">
        <v>1</v>
      </c>
      <c r="AR59" s="87">
        <v>5</v>
      </c>
      <c r="AS59" s="87">
        <v>5</v>
      </c>
      <c r="AT59" s="87">
        <v>1</v>
      </c>
      <c r="AU59" s="87">
        <v>1</v>
      </c>
      <c r="AV59" s="87">
        <v>2.8</v>
      </c>
      <c r="AW59" s="87">
        <f t="shared" si="75"/>
        <v>10</v>
      </c>
      <c r="AX59" s="87">
        <f t="shared" si="76"/>
        <v>10</v>
      </c>
      <c r="AY59" s="91">
        <f t="shared" si="69"/>
        <v>20</v>
      </c>
      <c r="AZ59" s="91">
        <f t="shared" si="77"/>
        <v>22.947875317238235</v>
      </c>
      <c r="BA59" s="91"/>
      <c r="BB59" s="73">
        <v>0.02</v>
      </c>
      <c r="BC59" s="73">
        <f t="shared" si="122"/>
        <v>22.48891781089347</v>
      </c>
      <c r="BD59" s="73">
        <v>4.840412061378459</v>
      </c>
      <c r="BE59" s="87">
        <v>5.7504095289176105</v>
      </c>
      <c r="BF59" s="42"/>
      <c r="BG59" s="42"/>
      <c r="BH59" s="42"/>
      <c r="BI59" s="42"/>
      <c r="BJ59" s="42"/>
      <c r="BK59" s="42"/>
      <c r="BL59" s="42"/>
      <c r="BM59" s="42"/>
      <c r="BN59" s="42"/>
      <c r="BO59" s="70"/>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row>
    <row r="60" spans="1:159" s="4" customFormat="1" ht="17.25">
      <c r="A60" s="71">
        <v>56</v>
      </c>
      <c r="B60" s="94" t="s">
        <v>460</v>
      </c>
      <c r="C60" s="75">
        <v>1</v>
      </c>
      <c r="D60" s="94">
        <v>2</v>
      </c>
      <c r="E60" s="75">
        <v>575</v>
      </c>
      <c r="F60" s="75">
        <v>1200</v>
      </c>
      <c r="G60" s="94">
        <f t="shared" si="72"/>
        <v>575</v>
      </c>
      <c r="H60" s="94">
        <v>256</v>
      </c>
      <c r="I60" s="72">
        <f t="shared" si="123"/>
        <v>12</v>
      </c>
      <c r="J60" s="94">
        <v>12</v>
      </c>
      <c r="K60" s="94">
        <v>12</v>
      </c>
      <c r="L60" s="100" t="s">
        <v>453</v>
      </c>
      <c r="M60" s="94">
        <v>36</v>
      </c>
      <c r="N60" s="100" t="s">
        <v>453</v>
      </c>
      <c r="O60" s="94">
        <v>8</v>
      </c>
      <c r="P60" s="77">
        <f t="shared" si="121"/>
        <v>91.58432809481599</v>
      </c>
      <c r="Q60" s="78"/>
      <c r="R60" s="78"/>
      <c r="S60" s="89">
        <v>256</v>
      </c>
      <c r="T60" s="102">
        <v>35</v>
      </c>
      <c r="U60" s="102">
        <v>90</v>
      </c>
      <c r="V60" s="94" t="s">
        <v>55</v>
      </c>
      <c r="W60" s="94" t="s">
        <v>42</v>
      </c>
      <c r="X60" s="14" t="s">
        <v>41</v>
      </c>
      <c r="Y60" s="94" t="s">
        <v>23</v>
      </c>
      <c r="Z60" s="95">
        <v>9</v>
      </c>
      <c r="AA60" s="124" t="s">
        <v>559</v>
      </c>
      <c r="AB60" s="94" t="s">
        <v>454</v>
      </c>
      <c r="AC60" s="96">
        <v>3</v>
      </c>
      <c r="AD60" s="97">
        <v>352</v>
      </c>
      <c r="AE60" s="98">
        <f>384*C60</f>
        <v>384</v>
      </c>
      <c r="AF60" s="99">
        <v>90</v>
      </c>
      <c r="AG60" s="94"/>
      <c r="AH60" s="91"/>
      <c r="AI60" s="87">
        <f t="shared" si="125"/>
        <v>6.9</v>
      </c>
      <c r="AJ60" s="91">
        <f t="shared" si="126"/>
        <v>6.9</v>
      </c>
      <c r="AK60" s="91">
        <f t="shared" si="124"/>
        <v>6.9</v>
      </c>
      <c r="AL60" s="87">
        <f t="shared" si="127"/>
        <v>17.25</v>
      </c>
      <c r="AM60" s="92">
        <f t="shared" si="128"/>
        <v>32.33684210526316</v>
      </c>
      <c r="AN60" s="73">
        <f t="shared" si="129"/>
        <v>1</v>
      </c>
      <c r="AO60" s="87">
        <v>2</v>
      </c>
      <c r="AP60" s="87">
        <v>1</v>
      </c>
      <c r="AQ60" s="87">
        <v>1</v>
      </c>
      <c r="AR60" s="87">
        <v>5</v>
      </c>
      <c r="AS60" s="87">
        <v>5</v>
      </c>
      <c r="AT60" s="87">
        <v>1</v>
      </c>
      <c r="AU60" s="87">
        <v>1</v>
      </c>
      <c r="AV60" s="87">
        <v>2.8</v>
      </c>
      <c r="AW60" s="87">
        <f t="shared" si="75"/>
        <v>6.8999999999999995</v>
      </c>
      <c r="AX60" s="87">
        <f t="shared" si="76"/>
        <v>6.900000000000001</v>
      </c>
      <c r="AY60" s="91">
        <f t="shared" si="69"/>
        <v>13.8</v>
      </c>
      <c r="AZ60" s="91">
        <f t="shared" si="77"/>
        <v>16.251607045578357</v>
      </c>
      <c r="BA60" s="91"/>
      <c r="BB60" s="73">
        <v>0.02</v>
      </c>
      <c r="BC60" s="73">
        <f t="shared" si="122"/>
        <v>15.92657490466679</v>
      </c>
      <c r="BD60" s="73">
        <v>4.840412061378459</v>
      </c>
      <c r="BE60" s="87">
        <v>5.7504095289176105</v>
      </c>
      <c r="BF60" s="42"/>
      <c r="BG60" s="42"/>
      <c r="BH60" s="42"/>
      <c r="BI60" s="42"/>
      <c r="BJ60" s="42"/>
      <c r="BK60" s="42"/>
      <c r="BL60" s="42"/>
      <c r="BM60" s="42"/>
      <c r="BN60" s="42"/>
      <c r="BO60" s="70"/>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row>
    <row r="61" spans="1:159" s="4" customFormat="1" ht="17.25">
      <c r="A61" s="71">
        <v>57</v>
      </c>
      <c r="B61" s="94" t="s">
        <v>461</v>
      </c>
      <c r="C61" s="94">
        <v>1</v>
      </c>
      <c r="D61" s="94">
        <v>1</v>
      </c>
      <c r="E61" s="72">
        <v>500</v>
      </c>
      <c r="F61" s="72">
        <v>1400</v>
      </c>
      <c r="G61" s="94">
        <f t="shared" si="72"/>
        <v>500</v>
      </c>
      <c r="H61" s="94">
        <v>128</v>
      </c>
      <c r="I61" s="72">
        <f t="shared" si="123"/>
        <v>16</v>
      </c>
      <c r="J61" s="94">
        <v>16</v>
      </c>
      <c r="K61" s="94">
        <v>8</v>
      </c>
      <c r="L61" s="100" t="s">
        <v>453</v>
      </c>
      <c r="M61" s="94">
        <v>48</v>
      </c>
      <c r="N61" s="100" t="s">
        <v>453</v>
      </c>
      <c r="O61" s="94" t="s">
        <v>21</v>
      </c>
      <c r="P61" s="77">
        <f t="shared" si="121"/>
        <v>98.10073867579251</v>
      </c>
      <c r="Q61" s="78"/>
      <c r="R61" s="78"/>
      <c r="S61" s="89">
        <v>512</v>
      </c>
      <c r="T61" s="102" t="s">
        <v>47</v>
      </c>
      <c r="U61" s="102" t="s">
        <v>47</v>
      </c>
      <c r="V61" s="94" t="s">
        <v>28</v>
      </c>
      <c r="W61" s="94" t="s">
        <v>28</v>
      </c>
      <c r="X61" s="94" t="s">
        <v>28</v>
      </c>
      <c r="Y61" s="94" t="s">
        <v>23</v>
      </c>
      <c r="Z61" s="95" t="s">
        <v>28</v>
      </c>
      <c r="AA61" s="124" t="s">
        <v>559</v>
      </c>
      <c r="AB61" s="94" t="s">
        <v>454</v>
      </c>
      <c r="AC61" s="96">
        <v>3</v>
      </c>
      <c r="AD61" s="97"/>
      <c r="AE61" s="98">
        <v>377</v>
      </c>
      <c r="AF61" s="99">
        <v>90</v>
      </c>
      <c r="AG61" s="94"/>
      <c r="AH61" s="91"/>
      <c r="AI61" s="87">
        <f t="shared" si="125"/>
        <v>8</v>
      </c>
      <c r="AJ61" s="91">
        <f t="shared" si="126"/>
        <v>8</v>
      </c>
      <c r="AK61" s="91">
        <f t="shared" si="124"/>
        <v>4</v>
      </c>
      <c r="AL61" s="87">
        <f>M61*G61/1000</f>
        <v>24</v>
      </c>
      <c r="AM61" s="92">
        <f t="shared" si="128"/>
        <v>18.86315789473684</v>
      </c>
      <c r="AN61" s="73">
        <f t="shared" si="129"/>
        <v>1</v>
      </c>
      <c r="AO61" s="87">
        <v>2</v>
      </c>
      <c r="AP61" s="87">
        <v>1</v>
      </c>
      <c r="AQ61" s="87">
        <v>1</v>
      </c>
      <c r="AR61" s="87">
        <v>5</v>
      </c>
      <c r="AS61" s="87">
        <v>5</v>
      </c>
      <c r="AT61" s="87">
        <v>1</v>
      </c>
      <c r="AU61" s="87">
        <v>1</v>
      </c>
      <c r="AV61" s="87">
        <v>2.8</v>
      </c>
      <c r="AW61" s="87">
        <f t="shared" si="75"/>
        <v>8</v>
      </c>
      <c r="AX61" s="87">
        <f t="shared" si="76"/>
        <v>6.857142857142857</v>
      </c>
      <c r="AY61" s="91">
        <f t="shared" si="69"/>
        <v>16.941176470588236</v>
      </c>
      <c r="AZ61" s="91">
        <f t="shared" si="77"/>
        <v>17.407941828097485</v>
      </c>
      <c r="BA61" s="91"/>
      <c r="BB61" s="73">
        <v>0.02</v>
      </c>
      <c r="BC61" s="73">
        <f t="shared" si="122"/>
        <v>17.059782991535535</v>
      </c>
      <c r="BD61" s="73">
        <v>4.840412061378459</v>
      </c>
      <c r="BE61" s="87">
        <v>5.7504095289176105</v>
      </c>
      <c r="BF61" s="42"/>
      <c r="BG61" s="42"/>
      <c r="BH61" s="42"/>
      <c r="BI61" s="42"/>
      <c r="BJ61" s="42"/>
      <c r="BK61" s="42"/>
      <c r="BL61" s="42"/>
      <c r="BM61" s="42"/>
      <c r="BN61" s="42"/>
      <c r="BO61" s="70"/>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row>
    <row r="62" spans="1:159" s="4" customFormat="1" ht="17.25">
      <c r="A62" s="71">
        <v>58</v>
      </c>
      <c r="B62" s="94" t="s">
        <v>462</v>
      </c>
      <c r="C62" s="75">
        <v>1</v>
      </c>
      <c r="D62" s="94">
        <v>2</v>
      </c>
      <c r="E62" s="75">
        <v>625</v>
      </c>
      <c r="F62" s="75">
        <v>1500</v>
      </c>
      <c r="G62" s="94">
        <f t="shared" si="72"/>
        <v>625</v>
      </c>
      <c r="H62" s="94">
        <v>256</v>
      </c>
      <c r="I62" s="72">
        <f t="shared" si="123"/>
        <v>16</v>
      </c>
      <c r="J62" s="94">
        <v>16</v>
      </c>
      <c r="K62" s="94">
        <v>16</v>
      </c>
      <c r="L62" s="100" t="s">
        <v>453</v>
      </c>
      <c r="M62" s="94">
        <v>16</v>
      </c>
      <c r="N62" s="100" t="s">
        <v>453</v>
      </c>
      <c r="O62" s="94">
        <v>8</v>
      </c>
      <c r="P62" s="77">
        <f t="shared" si="121"/>
        <v>70.27155727999185</v>
      </c>
      <c r="Q62" s="78"/>
      <c r="R62" s="78"/>
      <c r="S62" s="89">
        <v>512</v>
      </c>
      <c r="T62" s="102">
        <v>30</v>
      </c>
      <c r="U62" s="102">
        <v>125</v>
      </c>
      <c r="V62" s="94" t="s">
        <v>55</v>
      </c>
      <c r="W62" s="94" t="s">
        <v>42</v>
      </c>
      <c r="X62" s="14" t="s">
        <v>41</v>
      </c>
      <c r="Y62" s="94" t="s">
        <v>40</v>
      </c>
      <c r="Z62" s="95">
        <v>9</v>
      </c>
      <c r="AA62" s="124" t="s">
        <v>559</v>
      </c>
      <c r="AB62" s="94" t="s">
        <v>454</v>
      </c>
      <c r="AC62" s="96">
        <v>3</v>
      </c>
      <c r="AD62" s="97">
        <v>296</v>
      </c>
      <c r="AE62" s="98">
        <f>312*C62</f>
        <v>312</v>
      </c>
      <c r="AF62" s="99">
        <v>90</v>
      </c>
      <c r="AG62" s="94"/>
      <c r="AH62" s="91"/>
      <c r="AI62" s="87">
        <f t="shared" si="125"/>
        <v>10</v>
      </c>
      <c r="AJ62" s="91">
        <f t="shared" si="126"/>
        <v>10</v>
      </c>
      <c r="AK62" s="91">
        <f t="shared" si="124"/>
        <v>10</v>
      </c>
      <c r="AL62" s="87">
        <f>M62*G62/1000</f>
        <v>10</v>
      </c>
      <c r="AM62" s="92">
        <f t="shared" si="128"/>
        <v>40.421052631578945</v>
      </c>
      <c r="AN62" s="73">
        <f t="shared" si="129"/>
        <v>1</v>
      </c>
      <c r="AO62" s="87">
        <v>2</v>
      </c>
      <c r="AP62" s="87">
        <v>1</v>
      </c>
      <c r="AQ62" s="87">
        <v>1</v>
      </c>
      <c r="AR62" s="87">
        <v>5</v>
      </c>
      <c r="AS62" s="87">
        <v>5</v>
      </c>
      <c r="AT62" s="87">
        <v>1</v>
      </c>
      <c r="AU62" s="87">
        <v>1</v>
      </c>
      <c r="AV62" s="87">
        <v>2.8</v>
      </c>
      <c r="AW62" s="87">
        <f t="shared" si="75"/>
        <v>10</v>
      </c>
      <c r="AX62" s="87">
        <f t="shared" si="76"/>
        <v>10</v>
      </c>
      <c r="AY62" s="91">
        <f t="shared" si="69"/>
        <v>10</v>
      </c>
      <c r="AZ62" s="91">
        <f t="shared" si="77"/>
        <v>12.469663305417878</v>
      </c>
      <c r="BA62" s="91"/>
      <c r="BB62" s="73">
        <v>0.02</v>
      </c>
      <c r="BC62" s="73">
        <f t="shared" si="122"/>
        <v>12.22027003930952</v>
      </c>
      <c r="BD62" s="73">
        <v>4.840412061378459</v>
      </c>
      <c r="BE62" s="87">
        <v>5.7504095289176105</v>
      </c>
      <c r="BF62" s="42"/>
      <c r="BG62" s="42"/>
      <c r="BH62" s="42"/>
      <c r="BI62" s="42"/>
      <c r="BJ62" s="42"/>
      <c r="BK62" s="42"/>
      <c r="BL62" s="42"/>
      <c r="BM62" s="42"/>
      <c r="BN62" s="42"/>
      <c r="BO62" s="70"/>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row>
    <row r="63" spans="1:159" s="4" customFormat="1" ht="17.25">
      <c r="A63" s="71">
        <v>59</v>
      </c>
      <c r="B63" s="94" t="s">
        <v>463</v>
      </c>
      <c r="C63" s="75">
        <v>1</v>
      </c>
      <c r="D63" s="94">
        <v>2</v>
      </c>
      <c r="E63" s="75">
        <v>500</v>
      </c>
      <c r="F63" s="75">
        <v>1000</v>
      </c>
      <c r="G63" s="94">
        <f t="shared" si="72"/>
        <v>500</v>
      </c>
      <c r="H63" s="94">
        <v>256</v>
      </c>
      <c r="I63" s="72">
        <f t="shared" si="123"/>
        <v>16</v>
      </c>
      <c r="J63" s="94">
        <v>16</v>
      </c>
      <c r="K63" s="94">
        <v>16</v>
      </c>
      <c r="L63" s="100" t="s">
        <v>453</v>
      </c>
      <c r="M63" s="94">
        <v>16</v>
      </c>
      <c r="N63" s="100" t="s">
        <v>453</v>
      </c>
      <c r="O63" s="94">
        <v>8</v>
      </c>
      <c r="P63" s="77">
        <f t="shared" si="121"/>
        <v>55.31905572085196</v>
      </c>
      <c r="Q63" s="78"/>
      <c r="R63" s="78"/>
      <c r="S63" s="89">
        <v>512</v>
      </c>
      <c r="T63" s="102">
        <v>27</v>
      </c>
      <c r="U63" s="102">
        <v>75</v>
      </c>
      <c r="V63" s="94" t="s">
        <v>55</v>
      </c>
      <c r="W63" s="94" t="s">
        <v>42</v>
      </c>
      <c r="X63" s="14" t="s">
        <v>41</v>
      </c>
      <c r="Y63" s="94" t="s">
        <v>23</v>
      </c>
      <c r="Z63" s="95">
        <v>9</v>
      </c>
      <c r="AA63" s="124" t="s">
        <v>559</v>
      </c>
      <c r="AB63" s="94" t="s">
        <v>454</v>
      </c>
      <c r="AC63" s="96">
        <v>3</v>
      </c>
      <c r="AD63" s="97">
        <v>296</v>
      </c>
      <c r="AE63" s="98">
        <f>312*C63</f>
        <v>312</v>
      </c>
      <c r="AF63" s="99">
        <v>90</v>
      </c>
      <c r="AG63" s="94"/>
      <c r="AH63" s="91"/>
      <c r="AI63" s="87">
        <f t="shared" si="125"/>
        <v>8</v>
      </c>
      <c r="AJ63" s="91">
        <f t="shared" si="126"/>
        <v>8</v>
      </c>
      <c r="AK63" s="91">
        <f t="shared" si="124"/>
        <v>8</v>
      </c>
      <c r="AL63" s="87">
        <f>M63*G63/1000</f>
        <v>8</v>
      </c>
      <c r="AM63" s="92">
        <f t="shared" si="128"/>
        <v>26.94736842105263</v>
      </c>
      <c r="AN63" s="73">
        <f t="shared" si="129"/>
        <v>1</v>
      </c>
      <c r="AO63" s="87">
        <v>2</v>
      </c>
      <c r="AP63" s="87">
        <v>1</v>
      </c>
      <c r="AQ63" s="87">
        <v>1</v>
      </c>
      <c r="AR63" s="87">
        <v>5</v>
      </c>
      <c r="AS63" s="87">
        <v>5</v>
      </c>
      <c r="AT63" s="87">
        <v>1</v>
      </c>
      <c r="AU63" s="87">
        <v>1</v>
      </c>
      <c r="AV63" s="87">
        <v>2.8</v>
      </c>
      <c r="AW63" s="87">
        <f t="shared" si="75"/>
        <v>8</v>
      </c>
      <c r="AX63" s="87">
        <f t="shared" si="76"/>
        <v>8</v>
      </c>
      <c r="AY63" s="91">
        <f t="shared" si="69"/>
        <v>8</v>
      </c>
      <c r="AZ63" s="91">
        <f t="shared" si="77"/>
        <v>9.816347124117053</v>
      </c>
      <c r="BA63" s="91"/>
      <c r="BB63" s="73">
        <v>0.02</v>
      </c>
      <c r="BC63" s="73">
        <f t="shared" si="122"/>
        <v>9.620020181634711</v>
      </c>
      <c r="BD63" s="73">
        <v>4.840412061378459</v>
      </c>
      <c r="BE63" s="87">
        <v>5.7504095289176105</v>
      </c>
      <c r="BF63" s="42"/>
      <c r="BG63" s="42"/>
      <c r="BH63" s="42"/>
      <c r="BI63" s="42"/>
      <c r="BJ63" s="42"/>
      <c r="BK63" s="42"/>
      <c r="BL63" s="42"/>
      <c r="BM63" s="42"/>
      <c r="BN63" s="42"/>
      <c r="BO63" s="70"/>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row>
    <row r="64" spans="1:159" s="4" customFormat="1" ht="17.25">
      <c r="A64" s="71">
        <v>60</v>
      </c>
      <c r="B64" s="94" t="s">
        <v>464</v>
      </c>
      <c r="C64" s="75">
        <v>1</v>
      </c>
      <c r="D64" s="94">
        <v>2</v>
      </c>
      <c r="E64" s="75">
        <v>500</v>
      </c>
      <c r="F64" s="75">
        <v>1000</v>
      </c>
      <c r="G64" s="94">
        <f t="shared" si="72"/>
        <v>500</v>
      </c>
      <c r="H64" s="94">
        <v>256</v>
      </c>
      <c r="I64" s="72">
        <f t="shared" si="123"/>
        <v>16</v>
      </c>
      <c r="J64" s="94">
        <v>16</v>
      </c>
      <c r="K64" s="94">
        <v>16</v>
      </c>
      <c r="L64" s="100" t="s">
        <v>453</v>
      </c>
      <c r="M64" s="94">
        <v>16</v>
      </c>
      <c r="N64" s="100" t="s">
        <v>453</v>
      </c>
      <c r="O64" s="94">
        <v>8</v>
      </c>
      <c r="P64" s="77">
        <f t="shared" si="121"/>
        <v>55.31905572085196</v>
      </c>
      <c r="Q64" s="78"/>
      <c r="R64" s="78"/>
      <c r="S64" s="89">
        <v>512</v>
      </c>
      <c r="T64" s="102">
        <v>30</v>
      </c>
      <c r="U64" s="102">
        <v>80</v>
      </c>
      <c r="V64" s="94" t="s">
        <v>55</v>
      </c>
      <c r="W64" s="94" t="s">
        <v>42</v>
      </c>
      <c r="X64" s="14" t="s">
        <v>41</v>
      </c>
      <c r="Y64" s="94" t="s">
        <v>23</v>
      </c>
      <c r="Z64" s="95">
        <v>10</v>
      </c>
      <c r="AA64" s="124" t="s">
        <v>559</v>
      </c>
      <c r="AB64" s="94" t="s">
        <v>454</v>
      </c>
      <c r="AC64" s="96">
        <v>3</v>
      </c>
      <c r="AD64" s="97">
        <v>296</v>
      </c>
      <c r="AE64" s="98">
        <f>312*C64</f>
        <v>312</v>
      </c>
      <c r="AF64" s="99">
        <v>90</v>
      </c>
      <c r="AG64" s="94"/>
      <c r="AH64" s="91"/>
      <c r="AI64" s="87">
        <f t="shared" si="125"/>
        <v>8</v>
      </c>
      <c r="AJ64" s="91">
        <f t="shared" si="126"/>
        <v>8</v>
      </c>
      <c r="AK64" s="91">
        <f t="shared" si="124"/>
        <v>8</v>
      </c>
      <c r="AL64" s="87">
        <f>M64*G64/1000</f>
        <v>8</v>
      </c>
      <c r="AM64" s="92">
        <f t="shared" si="128"/>
        <v>26.94736842105263</v>
      </c>
      <c r="AN64" s="73">
        <f t="shared" si="129"/>
        <v>1</v>
      </c>
      <c r="AO64" s="87">
        <v>2</v>
      </c>
      <c r="AP64" s="87">
        <v>1</v>
      </c>
      <c r="AQ64" s="87">
        <v>1</v>
      </c>
      <c r="AR64" s="87">
        <v>5</v>
      </c>
      <c r="AS64" s="87">
        <v>5</v>
      </c>
      <c r="AT64" s="87">
        <v>1</v>
      </c>
      <c r="AU64" s="87">
        <v>1</v>
      </c>
      <c r="AV64" s="87">
        <v>2.8</v>
      </c>
      <c r="AW64" s="87">
        <f t="shared" si="75"/>
        <v>8</v>
      </c>
      <c r="AX64" s="87">
        <f t="shared" si="76"/>
        <v>8</v>
      </c>
      <c r="AY64" s="91">
        <f t="shared" si="69"/>
        <v>8</v>
      </c>
      <c r="AZ64" s="91">
        <f t="shared" si="77"/>
        <v>9.816347124117053</v>
      </c>
      <c r="BA64" s="91"/>
      <c r="BB64" s="73">
        <v>0.02</v>
      </c>
      <c r="BC64" s="73">
        <f t="shared" si="122"/>
        <v>9.620020181634711</v>
      </c>
      <c r="BD64" s="73">
        <v>4.840412061378459</v>
      </c>
      <c r="BE64" s="87">
        <v>5.7504095289176105</v>
      </c>
      <c r="BF64" s="42"/>
      <c r="BG64" s="42"/>
      <c r="BH64" s="42"/>
      <c r="BI64" s="42"/>
      <c r="BJ64" s="42"/>
      <c r="BK64" s="42"/>
      <c r="BL64" s="42"/>
      <c r="BM64" s="42"/>
      <c r="BN64" s="42"/>
      <c r="BO64" s="70"/>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row>
    <row r="65" spans="1:159" s="4" customFormat="1" ht="17.25">
      <c r="A65" s="71">
        <v>61</v>
      </c>
      <c r="B65" s="94" t="s">
        <v>465</v>
      </c>
      <c r="C65" s="75">
        <v>1</v>
      </c>
      <c r="D65" s="94">
        <v>2</v>
      </c>
      <c r="E65" s="75">
        <v>500</v>
      </c>
      <c r="F65" s="75">
        <v>1000</v>
      </c>
      <c r="G65" s="94">
        <f aca="true" t="shared" si="130" ref="G65:G72">E65</f>
        <v>500</v>
      </c>
      <c r="H65" s="94">
        <v>256</v>
      </c>
      <c r="I65" s="72">
        <f t="shared" si="123"/>
        <v>12</v>
      </c>
      <c r="J65" s="94">
        <v>12</v>
      </c>
      <c r="K65" s="94">
        <v>8</v>
      </c>
      <c r="L65" s="100" t="s">
        <v>453</v>
      </c>
      <c r="M65" s="94">
        <v>12</v>
      </c>
      <c r="N65" s="100" t="s">
        <v>453</v>
      </c>
      <c r="O65" s="94">
        <v>8</v>
      </c>
      <c r="P65" s="77">
        <f t="shared" si="121"/>
        <v>41.96807320657903</v>
      </c>
      <c r="Q65" s="78"/>
      <c r="R65" s="78"/>
      <c r="S65" s="89">
        <v>256</v>
      </c>
      <c r="T65" s="102">
        <v>25</v>
      </c>
      <c r="U65" s="102">
        <v>65</v>
      </c>
      <c r="V65" s="94" t="s">
        <v>55</v>
      </c>
      <c r="W65" s="94" t="s">
        <v>42</v>
      </c>
      <c r="X65" s="14" t="s">
        <v>41</v>
      </c>
      <c r="Y65" s="94" t="s">
        <v>23</v>
      </c>
      <c r="Z65" s="95">
        <v>9</v>
      </c>
      <c r="AA65" s="124" t="s">
        <v>559</v>
      </c>
      <c r="AB65" s="94" t="s">
        <v>454</v>
      </c>
      <c r="AC65" s="96">
        <v>3</v>
      </c>
      <c r="AD65" s="97">
        <v>296</v>
      </c>
      <c r="AE65" s="98">
        <f>312*C65</f>
        <v>312</v>
      </c>
      <c r="AF65" s="99">
        <v>90</v>
      </c>
      <c r="AG65" s="94"/>
      <c r="AH65" s="91"/>
      <c r="AI65" s="87">
        <f t="shared" si="125"/>
        <v>6</v>
      </c>
      <c r="AJ65" s="91">
        <f t="shared" si="126"/>
        <v>6</v>
      </c>
      <c r="AK65" s="91">
        <f t="shared" si="124"/>
        <v>4</v>
      </c>
      <c r="AL65" s="87">
        <f>M65*G65/1000</f>
        <v>6</v>
      </c>
      <c r="AM65" s="92">
        <f t="shared" si="128"/>
        <v>26.94736842105263</v>
      </c>
      <c r="AN65" s="73">
        <f t="shared" si="129"/>
        <v>1</v>
      </c>
      <c r="AO65" s="87">
        <v>2</v>
      </c>
      <c r="AP65" s="87">
        <v>1</v>
      </c>
      <c r="AQ65" s="87">
        <v>1</v>
      </c>
      <c r="AR65" s="87">
        <v>5</v>
      </c>
      <c r="AS65" s="87">
        <v>5</v>
      </c>
      <c r="AT65" s="87">
        <v>1</v>
      </c>
      <c r="AU65" s="87">
        <v>1</v>
      </c>
      <c r="AV65" s="87">
        <v>2.8</v>
      </c>
      <c r="AW65" s="87">
        <f aca="true" t="shared" si="131" ref="AW65:AW72">AI65*AJ65*(AO65+AP65)/(AI65*AO65+AJ65*AP65)</f>
        <v>6</v>
      </c>
      <c r="AX65" s="87">
        <f aca="true" t="shared" si="132" ref="AX65:AX72">(AQ65+AR65)*AW65*AK65/(AW65*AQ65+AK65*AR65)</f>
        <v>5.538461538461538</v>
      </c>
      <c r="AY65" s="91">
        <f t="shared" si="69"/>
        <v>5.917808219178081</v>
      </c>
      <c r="AZ65" s="91">
        <f aca="true" t="shared" si="133" ref="AZ65:AZ72">AY65*AM65*(AU65+AV65)/(AY65*AU65+AV65*AM65)*AN65</f>
        <v>7.447219938189343</v>
      </c>
      <c r="BA65" s="91"/>
      <c r="BB65" s="73">
        <v>0.02</v>
      </c>
      <c r="BC65" s="73">
        <f t="shared" si="122"/>
        <v>7.298275539425556</v>
      </c>
      <c r="BD65" s="73">
        <v>4.840412061378459</v>
      </c>
      <c r="BE65" s="87">
        <v>5.7504095289176105</v>
      </c>
      <c r="BF65" s="42"/>
      <c r="BG65" s="42"/>
      <c r="BH65" s="42"/>
      <c r="BI65" s="42"/>
      <c r="BJ65" s="42"/>
      <c r="BK65" s="42"/>
      <c r="BL65" s="42"/>
      <c r="BM65" s="42"/>
      <c r="BN65" s="42"/>
      <c r="BO65" s="70"/>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row>
    <row r="66" spans="1:159" s="4" customFormat="1" ht="17.25">
      <c r="A66" s="71">
        <v>62</v>
      </c>
      <c r="B66" s="94" t="s">
        <v>466</v>
      </c>
      <c r="C66" s="75">
        <v>1</v>
      </c>
      <c r="D66" s="94">
        <v>2</v>
      </c>
      <c r="E66" s="75">
        <v>575</v>
      </c>
      <c r="F66" s="75">
        <v>1350</v>
      </c>
      <c r="G66" s="94">
        <f t="shared" si="130"/>
        <v>575</v>
      </c>
      <c r="H66" s="94">
        <v>128</v>
      </c>
      <c r="I66" s="72">
        <f t="shared" si="123"/>
        <v>8</v>
      </c>
      <c r="J66" s="94">
        <v>8</v>
      </c>
      <c r="K66" s="94">
        <v>8</v>
      </c>
      <c r="L66" s="100" t="s">
        <v>453</v>
      </c>
      <c r="M66" s="94">
        <v>24</v>
      </c>
      <c r="N66" s="100" t="s">
        <v>453</v>
      </c>
      <c r="O66" s="94">
        <v>8</v>
      </c>
      <c r="P66" s="77">
        <f t="shared" si="121"/>
        <v>59.5965888247063</v>
      </c>
      <c r="Q66" s="78"/>
      <c r="R66" s="78"/>
      <c r="S66" s="89">
        <v>256</v>
      </c>
      <c r="T66" s="102">
        <v>25</v>
      </c>
      <c r="U66" s="102">
        <v>70</v>
      </c>
      <c r="V66" s="94" t="s">
        <v>55</v>
      </c>
      <c r="W66" s="94" t="s">
        <v>27</v>
      </c>
      <c r="X66" s="94" t="s">
        <v>28</v>
      </c>
      <c r="Y66" s="94" t="s">
        <v>23</v>
      </c>
      <c r="Z66" s="95" t="s">
        <v>430</v>
      </c>
      <c r="AA66" s="124" t="s">
        <v>559</v>
      </c>
      <c r="AB66" s="94" t="s">
        <v>454</v>
      </c>
      <c r="AC66" s="96">
        <v>3</v>
      </c>
      <c r="AD66" s="97"/>
      <c r="AE66" s="98" t="s">
        <v>47</v>
      </c>
      <c r="AF66" s="99">
        <v>80</v>
      </c>
      <c r="AG66" s="94"/>
      <c r="AH66" s="91"/>
      <c r="AI66" s="87">
        <f t="shared" si="125"/>
        <v>4.6</v>
      </c>
      <c r="AJ66" s="91">
        <f t="shared" si="126"/>
        <v>4.6</v>
      </c>
      <c r="AK66" s="91">
        <f t="shared" si="124"/>
        <v>4.6</v>
      </c>
      <c r="AL66" s="87">
        <f aca="true" t="shared" si="134" ref="AL66:AL72">M66*G66/1200</f>
        <v>11.5</v>
      </c>
      <c r="AM66" s="92">
        <f t="shared" si="128"/>
        <v>18.189473684210526</v>
      </c>
      <c r="AN66" s="73">
        <f t="shared" si="129"/>
        <v>1</v>
      </c>
      <c r="AO66" s="87">
        <v>2</v>
      </c>
      <c r="AP66" s="87">
        <v>1</v>
      </c>
      <c r="AQ66" s="87">
        <v>1</v>
      </c>
      <c r="AR66" s="87">
        <v>5</v>
      </c>
      <c r="AS66" s="87">
        <v>5</v>
      </c>
      <c r="AT66" s="87">
        <v>1</v>
      </c>
      <c r="AU66" s="87">
        <v>1</v>
      </c>
      <c r="AV66" s="87">
        <v>2.8</v>
      </c>
      <c r="AW66" s="87">
        <f t="shared" si="131"/>
        <v>4.6</v>
      </c>
      <c r="AX66" s="87">
        <f t="shared" si="132"/>
        <v>4.599999999999999</v>
      </c>
      <c r="AY66" s="91">
        <f t="shared" si="69"/>
        <v>9.2</v>
      </c>
      <c r="AZ66" s="91">
        <f t="shared" si="133"/>
        <v>10.575393879980393</v>
      </c>
      <c r="BA66" s="91"/>
      <c r="BB66" s="73">
        <v>0.02</v>
      </c>
      <c r="BC66" s="73">
        <f t="shared" si="122"/>
        <v>10.363886002380784</v>
      </c>
      <c r="BD66" s="73">
        <v>4.840412061378459</v>
      </c>
      <c r="BE66" s="87">
        <v>5.7504095289176105</v>
      </c>
      <c r="BF66" s="42"/>
      <c r="BG66" s="42"/>
      <c r="BH66" s="42"/>
      <c r="BI66" s="42"/>
      <c r="BJ66" s="42"/>
      <c r="BK66" s="42"/>
      <c r="BL66" s="42"/>
      <c r="BM66" s="42"/>
      <c r="BN66" s="42"/>
      <c r="BO66" s="70"/>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row>
    <row r="67" spans="1:159" s="4" customFormat="1" ht="17.25">
      <c r="A67" s="71">
        <v>63</v>
      </c>
      <c r="B67" s="94" t="s">
        <v>467</v>
      </c>
      <c r="C67" s="75">
        <v>1</v>
      </c>
      <c r="D67" s="94">
        <v>2</v>
      </c>
      <c r="E67" s="75">
        <v>600</v>
      </c>
      <c r="F67" s="75">
        <v>1400</v>
      </c>
      <c r="G67" s="94">
        <f t="shared" si="130"/>
        <v>600</v>
      </c>
      <c r="H67" s="94">
        <v>128</v>
      </c>
      <c r="I67" s="72">
        <f t="shared" si="123"/>
        <v>4</v>
      </c>
      <c r="J67" s="94">
        <v>4</v>
      </c>
      <c r="K67" s="94">
        <v>4</v>
      </c>
      <c r="L67" s="100" t="s">
        <v>453</v>
      </c>
      <c r="M67" s="94">
        <v>12</v>
      </c>
      <c r="N67" s="100" t="s">
        <v>453</v>
      </c>
      <c r="O67" s="94">
        <v>5</v>
      </c>
      <c r="P67" s="77">
        <f t="shared" si="121"/>
        <v>33.65229080989916</v>
      </c>
      <c r="Q67" s="78"/>
      <c r="R67" s="78"/>
      <c r="S67" s="89">
        <v>256</v>
      </c>
      <c r="T67" s="102">
        <v>25</v>
      </c>
      <c r="U67" s="102">
        <v>60</v>
      </c>
      <c r="V67" s="94" t="s">
        <v>55</v>
      </c>
      <c r="W67" s="94" t="s">
        <v>27</v>
      </c>
      <c r="X67" s="94" t="s">
        <v>28</v>
      </c>
      <c r="Y67" s="94" t="s">
        <v>23</v>
      </c>
      <c r="Z67" s="95" t="s">
        <v>430</v>
      </c>
      <c r="AA67" s="124" t="s">
        <v>559</v>
      </c>
      <c r="AB67" s="94" t="s">
        <v>454</v>
      </c>
      <c r="AC67" s="96">
        <v>3</v>
      </c>
      <c r="AD67" s="97">
        <v>149</v>
      </c>
      <c r="AE67" s="98">
        <f>157*C67</f>
        <v>157</v>
      </c>
      <c r="AF67" s="99">
        <v>90</v>
      </c>
      <c r="AG67" s="94"/>
      <c r="AH67" s="91"/>
      <c r="AI67" s="87">
        <f t="shared" si="125"/>
        <v>2.4</v>
      </c>
      <c r="AJ67" s="91">
        <f t="shared" si="126"/>
        <v>2.4</v>
      </c>
      <c r="AK67" s="91">
        <f t="shared" si="124"/>
        <v>2.4</v>
      </c>
      <c r="AL67" s="87">
        <f t="shared" si="134"/>
        <v>6</v>
      </c>
      <c r="AM67" s="92">
        <f t="shared" si="128"/>
        <v>18.86315789473684</v>
      </c>
      <c r="AN67" s="73">
        <f t="shared" si="129"/>
        <v>1</v>
      </c>
      <c r="AO67" s="87">
        <v>2</v>
      </c>
      <c r="AP67" s="87">
        <v>1</v>
      </c>
      <c r="AQ67" s="87">
        <v>1</v>
      </c>
      <c r="AR67" s="87">
        <v>5</v>
      </c>
      <c r="AS67" s="87">
        <v>5</v>
      </c>
      <c r="AT67" s="87">
        <v>1</v>
      </c>
      <c r="AU67" s="87">
        <v>1</v>
      </c>
      <c r="AV67" s="87">
        <v>2.8</v>
      </c>
      <c r="AW67" s="87">
        <f t="shared" si="131"/>
        <v>2.4000000000000004</v>
      </c>
      <c r="AX67" s="87">
        <f t="shared" si="132"/>
        <v>2.4</v>
      </c>
      <c r="AY67" s="91">
        <f t="shared" si="69"/>
        <v>4.8</v>
      </c>
      <c r="AZ67" s="91">
        <f t="shared" si="133"/>
        <v>5.971587255188542</v>
      </c>
      <c r="BA67" s="91"/>
      <c r="BB67" s="73">
        <v>0.02</v>
      </c>
      <c r="BC67" s="73">
        <f t="shared" si="122"/>
        <v>5.852155510084771</v>
      </c>
      <c r="BD67" s="73">
        <v>4.840412061378459</v>
      </c>
      <c r="BE67" s="87">
        <v>5.7504095289176105</v>
      </c>
      <c r="BF67" s="42"/>
      <c r="BG67" s="42"/>
      <c r="BH67" s="42"/>
      <c r="BI67" s="42"/>
      <c r="BJ67" s="42"/>
      <c r="BK67" s="42"/>
      <c r="BL67" s="42"/>
      <c r="BM67" s="42"/>
      <c r="BN67" s="42"/>
      <c r="BO67" s="70"/>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row>
    <row r="68" spans="1:159" s="4" customFormat="1" ht="17.25">
      <c r="A68" s="71">
        <v>64</v>
      </c>
      <c r="B68" s="94" t="s">
        <v>468</v>
      </c>
      <c r="C68" s="75">
        <v>1</v>
      </c>
      <c r="D68" s="94">
        <v>2</v>
      </c>
      <c r="E68" s="75">
        <v>580</v>
      </c>
      <c r="F68" s="75">
        <v>1380</v>
      </c>
      <c r="G68" s="94">
        <f t="shared" si="130"/>
        <v>580</v>
      </c>
      <c r="H68" s="94">
        <v>128</v>
      </c>
      <c r="I68" s="72">
        <f t="shared" si="123"/>
        <v>4</v>
      </c>
      <c r="J68" s="94">
        <v>4</v>
      </c>
      <c r="K68" s="94">
        <v>4</v>
      </c>
      <c r="L68" s="100" t="s">
        <v>453</v>
      </c>
      <c r="M68" s="94">
        <v>12</v>
      </c>
      <c r="N68" s="100" t="s">
        <v>453</v>
      </c>
      <c r="O68" s="94">
        <v>5</v>
      </c>
      <c r="P68" s="77">
        <f t="shared" si="121"/>
        <v>32.58300104640983</v>
      </c>
      <c r="Q68" s="78"/>
      <c r="R68" s="78"/>
      <c r="S68" s="89">
        <v>256</v>
      </c>
      <c r="T68" s="102">
        <v>25</v>
      </c>
      <c r="U68" s="102">
        <v>55</v>
      </c>
      <c r="V68" s="94" t="s">
        <v>55</v>
      </c>
      <c r="W68" s="94" t="s">
        <v>27</v>
      </c>
      <c r="X68" s="94" t="s">
        <v>28</v>
      </c>
      <c r="Y68" s="94" t="s">
        <v>23</v>
      </c>
      <c r="Z68" s="95" t="s">
        <v>430</v>
      </c>
      <c r="AA68" s="124" t="s">
        <v>559</v>
      </c>
      <c r="AB68" s="94" t="s">
        <v>454</v>
      </c>
      <c r="AC68" s="96">
        <v>3</v>
      </c>
      <c r="AD68" s="97">
        <v>149</v>
      </c>
      <c r="AE68" s="98">
        <f>157*C68</f>
        <v>157</v>
      </c>
      <c r="AF68" s="99">
        <v>90</v>
      </c>
      <c r="AG68" s="94"/>
      <c r="AH68" s="91"/>
      <c r="AI68" s="87">
        <f t="shared" si="125"/>
        <v>2.32</v>
      </c>
      <c r="AJ68" s="91">
        <f t="shared" si="126"/>
        <v>2.32</v>
      </c>
      <c r="AK68" s="91">
        <f t="shared" si="124"/>
        <v>2.32</v>
      </c>
      <c r="AL68" s="87">
        <f t="shared" si="134"/>
        <v>5.8</v>
      </c>
      <c r="AM68" s="92">
        <f t="shared" si="128"/>
        <v>18.593684210526316</v>
      </c>
      <c r="AN68" s="73">
        <f t="shared" si="129"/>
        <v>1</v>
      </c>
      <c r="AO68" s="87">
        <v>2</v>
      </c>
      <c r="AP68" s="87">
        <v>1</v>
      </c>
      <c r="AQ68" s="87">
        <v>1</v>
      </c>
      <c r="AR68" s="87">
        <v>5</v>
      </c>
      <c r="AS68" s="87">
        <v>5</v>
      </c>
      <c r="AT68" s="87">
        <v>1</v>
      </c>
      <c r="AU68" s="87">
        <v>1</v>
      </c>
      <c r="AV68" s="87">
        <v>2.8</v>
      </c>
      <c r="AW68" s="87">
        <f t="shared" si="131"/>
        <v>2.32</v>
      </c>
      <c r="AX68" s="87">
        <f t="shared" si="132"/>
        <v>2.32</v>
      </c>
      <c r="AY68" s="91">
        <f t="shared" si="69"/>
        <v>4.64</v>
      </c>
      <c r="AZ68" s="91">
        <f t="shared" si="133"/>
        <v>5.7818421599786145</v>
      </c>
      <c r="BA68" s="91"/>
      <c r="BB68" s="73">
        <v>0.02</v>
      </c>
      <c r="BC68" s="73">
        <f t="shared" si="122"/>
        <v>5.666205316779042</v>
      </c>
      <c r="BD68" s="73">
        <v>4.840412061378459</v>
      </c>
      <c r="BE68" s="87">
        <v>5.7504095289176105</v>
      </c>
      <c r="BF68" s="42"/>
      <c r="BG68" s="42"/>
      <c r="BH68" s="42"/>
      <c r="BI68" s="42"/>
      <c r="BJ68" s="42"/>
      <c r="BK68" s="42"/>
      <c r="BL68" s="42"/>
      <c r="BM68" s="42"/>
      <c r="BN68" s="42"/>
      <c r="BO68" s="70"/>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row>
    <row r="69" spans="1:159" s="4" customFormat="1" ht="17.25">
      <c r="A69" s="71">
        <v>65</v>
      </c>
      <c r="B69" s="94" t="s">
        <v>469</v>
      </c>
      <c r="C69" s="75">
        <v>1</v>
      </c>
      <c r="D69" s="94">
        <v>2</v>
      </c>
      <c r="E69" s="75">
        <v>500</v>
      </c>
      <c r="F69" s="75">
        <v>780</v>
      </c>
      <c r="G69" s="94">
        <f t="shared" si="130"/>
        <v>500</v>
      </c>
      <c r="H69" s="94">
        <v>128</v>
      </c>
      <c r="I69" s="72">
        <f t="shared" si="123"/>
        <v>4</v>
      </c>
      <c r="J69" s="94">
        <v>4</v>
      </c>
      <c r="K69" s="94">
        <v>4</v>
      </c>
      <c r="L69" s="100" t="s">
        <v>453</v>
      </c>
      <c r="M69" s="94">
        <v>12</v>
      </c>
      <c r="N69" s="100" t="s">
        <v>453</v>
      </c>
      <c r="O69" s="94">
        <v>5</v>
      </c>
      <c r="P69" s="77">
        <f t="shared" si="121"/>
        <v>26.931352150894437</v>
      </c>
      <c r="Q69" s="78"/>
      <c r="R69" s="78"/>
      <c r="S69" s="89">
        <v>256</v>
      </c>
      <c r="T69" s="102">
        <v>25</v>
      </c>
      <c r="U69" s="102">
        <v>50</v>
      </c>
      <c r="V69" s="94" t="s">
        <v>55</v>
      </c>
      <c r="W69" s="94" t="s">
        <v>27</v>
      </c>
      <c r="X69" s="94" t="s">
        <v>28</v>
      </c>
      <c r="Y69" s="94" t="s">
        <v>23</v>
      </c>
      <c r="Z69" s="95" t="s">
        <v>430</v>
      </c>
      <c r="AA69" s="124" t="s">
        <v>559</v>
      </c>
      <c r="AB69" s="94" t="s">
        <v>454</v>
      </c>
      <c r="AC69" s="96">
        <v>3</v>
      </c>
      <c r="AD69" s="97">
        <v>149</v>
      </c>
      <c r="AE69" s="98">
        <f>157*C69</f>
        <v>157</v>
      </c>
      <c r="AF69" s="99">
        <v>90</v>
      </c>
      <c r="AG69" s="94"/>
      <c r="AH69" s="91"/>
      <c r="AI69" s="87">
        <f t="shared" si="125"/>
        <v>2</v>
      </c>
      <c r="AJ69" s="91">
        <f t="shared" si="126"/>
        <v>2</v>
      </c>
      <c r="AK69" s="91">
        <f t="shared" si="124"/>
        <v>2</v>
      </c>
      <c r="AL69" s="87">
        <f t="shared" si="134"/>
        <v>5</v>
      </c>
      <c r="AM69" s="92">
        <f t="shared" si="128"/>
        <v>10.509473684210526</v>
      </c>
      <c r="AN69" s="73">
        <f t="shared" si="129"/>
        <v>1</v>
      </c>
      <c r="AO69" s="87">
        <v>2</v>
      </c>
      <c r="AP69" s="87">
        <v>1</v>
      </c>
      <c r="AQ69" s="87">
        <v>1</v>
      </c>
      <c r="AR69" s="87">
        <v>5</v>
      </c>
      <c r="AS69" s="87">
        <v>5</v>
      </c>
      <c r="AT69" s="87">
        <v>1</v>
      </c>
      <c r="AU69" s="87">
        <v>1</v>
      </c>
      <c r="AV69" s="87">
        <v>2.8</v>
      </c>
      <c r="AW69" s="87">
        <f t="shared" si="131"/>
        <v>2</v>
      </c>
      <c r="AX69" s="87">
        <f t="shared" si="132"/>
        <v>2</v>
      </c>
      <c r="AY69" s="91">
        <f t="shared" si="69"/>
        <v>4</v>
      </c>
      <c r="AZ69" s="91">
        <f t="shared" si="133"/>
        <v>4.778959036630221</v>
      </c>
      <c r="BA69" s="91"/>
      <c r="BB69" s="73">
        <v>0.02</v>
      </c>
      <c r="BC69" s="73">
        <f>AZ69*(1-BB69)+BA69*BB69</f>
        <v>4.683379855897616</v>
      </c>
      <c r="BD69" s="73">
        <v>4.840412061378459</v>
      </c>
      <c r="BE69" s="87">
        <v>5.7504095289176105</v>
      </c>
      <c r="BF69" s="42"/>
      <c r="BG69" s="42"/>
      <c r="BH69" s="42"/>
      <c r="BI69" s="42"/>
      <c r="BJ69" s="42"/>
      <c r="BK69" s="42"/>
      <c r="BL69" s="42"/>
      <c r="BM69" s="42"/>
      <c r="BN69" s="42"/>
      <c r="BO69" s="70"/>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row>
    <row r="70" spans="1:159" s="4" customFormat="1" ht="17.25">
      <c r="A70" s="71">
        <v>66</v>
      </c>
      <c r="B70" s="94" t="s">
        <v>470</v>
      </c>
      <c r="C70" s="94">
        <v>1</v>
      </c>
      <c r="D70" s="94">
        <v>1</v>
      </c>
      <c r="E70" s="75">
        <v>550</v>
      </c>
      <c r="F70" s="75">
        <v>666</v>
      </c>
      <c r="G70" s="94">
        <f t="shared" si="130"/>
        <v>550</v>
      </c>
      <c r="H70" s="94">
        <v>128</v>
      </c>
      <c r="I70" s="72">
        <f t="shared" si="123"/>
        <v>4</v>
      </c>
      <c r="J70" s="94">
        <v>4</v>
      </c>
      <c r="K70" s="94">
        <v>4</v>
      </c>
      <c r="L70" s="100" t="s">
        <v>471</v>
      </c>
      <c r="M70" s="94">
        <v>4</v>
      </c>
      <c r="N70" s="100" t="s">
        <v>471</v>
      </c>
      <c r="O70" s="94" t="s">
        <v>47</v>
      </c>
      <c r="P70" s="77">
        <f t="shared" si="121"/>
        <v>13.439892124503652</v>
      </c>
      <c r="Q70" s="78"/>
      <c r="R70" s="78"/>
      <c r="S70" s="89">
        <v>256</v>
      </c>
      <c r="T70" s="102" t="s">
        <v>47</v>
      </c>
      <c r="U70" s="102">
        <v>30</v>
      </c>
      <c r="V70" s="94" t="s">
        <v>55</v>
      </c>
      <c r="W70" s="94" t="s">
        <v>27</v>
      </c>
      <c r="X70" s="94" t="s">
        <v>28</v>
      </c>
      <c r="Y70" s="94" t="s">
        <v>23</v>
      </c>
      <c r="Z70" s="95">
        <v>6.7</v>
      </c>
      <c r="AA70" s="123" t="s">
        <v>556</v>
      </c>
      <c r="AB70" s="94" t="s">
        <v>454</v>
      </c>
      <c r="AC70" s="96">
        <v>2</v>
      </c>
      <c r="AD70" s="97"/>
      <c r="AE70" s="98">
        <f>105*C70</f>
        <v>105</v>
      </c>
      <c r="AF70" s="99">
        <v>90</v>
      </c>
      <c r="AG70" s="94"/>
      <c r="AH70" s="91"/>
      <c r="AI70" s="87">
        <f t="shared" si="125"/>
        <v>2.2</v>
      </c>
      <c r="AJ70" s="91">
        <f t="shared" si="126"/>
        <v>2.2</v>
      </c>
      <c r="AK70" s="91">
        <f t="shared" si="124"/>
        <v>2.2</v>
      </c>
      <c r="AL70" s="87">
        <f t="shared" si="134"/>
        <v>1.8333333333333333</v>
      </c>
      <c r="AM70" s="92">
        <f t="shared" si="128"/>
        <v>9.216</v>
      </c>
      <c r="AN70" s="73">
        <f t="shared" si="129"/>
        <v>1</v>
      </c>
      <c r="AO70" s="87">
        <v>2</v>
      </c>
      <c r="AP70" s="87">
        <v>1</v>
      </c>
      <c r="AQ70" s="87">
        <v>1</v>
      </c>
      <c r="AR70" s="87">
        <v>5</v>
      </c>
      <c r="AS70" s="87">
        <v>5</v>
      </c>
      <c r="AT70" s="87">
        <v>1</v>
      </c>
      <c r="AU70" s="87">
        <v>1</v>
      </c>
      <c r="AV70" s="87">
        <v>2.8</v>
      </c>
      <c r="AW70" s="87">
        <f t="shared" si="131"/>
        <v>2.2</v>
      </c>
      <c r="AX70" s="87">
        <f t="shared" si="132"/>
        <v>2.2000000000000006</v>
      </c>
      <c r="AY70" s="91">
        <f t="shared" si="69"/>
        <v>1.8857142857142852</v>
      </c>
      <c r="AZ70" s="91">
        <f t="shared" si="133"/>
        <v>2.384904165222128</v>
      </c>
      <c r="BA70" s="91"/>
      <c r="BB70" s="73">
        <v>0.02</v>
      </c>
      <c r="BC70" s="73">
        <f>AZ70*(1-BB70)+BA70*BB70</f>
        <v>2.3372060819176856</v>
      </c>
      <c r="BD70" s="73">
        <v>4.840412061378459</v>
      </c>
      <c r="BE70" s="87">
        <v>5.7504095289176105</v>
      </c>
      <c r="BF70" s="42"/>
      <c r="BG70" s="42"/>
      <c r="BH70" s="42"/>
      <c r="BI70" s="42"/>
      <c r="BJ70" s="42"/>
      <c r="BK70" s="42"/>
      <c r="BL70" s="42"/>
      <c r="BM70" s="42"/>
      <c r="BN70" s="42"/>
      <c r="BO70" s="70"/>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row>
    <row r="71" spans="1:159" s="4" customFormat="1" ht="17.25">
      <c r="A71" s="71">
        <v>67</v>
      </c>
      <c r="B71" s="94" t="s">
        <v>472</v>
      </c>
      <c r="C71" s="75">
        <v>1</v>
      </c>
      <c r="D71" s="94">
        <v>2</v>
      </c>
      <c r="E71" s="75">
        <v>500</v>
      </c>
      <c r="F71" s="75">
        <v>800</v>
      </c>
      <c r="G71" s="94">
        <f t="shared" si="130"/>
        <v>500</v>
      </c>
      <c r="H71" s="94">
        <v>128</v>
      </c>
      <c r="I71" s="72">
        <f t="shared" si="123"/>
        <v>4</v>
      </c>
      <c r="J71" s="94">
        <v>4</v>
      </c>
      <c r="K71" s="94">
        <v>4</v>
      </c>
      <c r="L71" s="100" t="s">
        <v>453</v>
      </c>
      <c r="M71" s="94">
        <v>12</v>
      </c>
      <c r="N71" s="100" t="s">
        <v>453</v>
      </c>
      <c r="O71" s="94">
        <v>5</v>
      </c>
      <c r="P71" s="77">
        <f t="shared" si="121"/>
        <v>27.01216270971387</v>
      </c>
      <c r="Q71" s="78"/>
      <c r="R71" s="78"/>
      <c r="S71" s="89">
        <v>256</v>
      </c>
      <c r="T71" s="102" t="s">
        <v>47</v>
      </c>
      <c r="U71" s="102">
        <v>25</v>
      </c>
      <c r="V71" s="94" t="s">
        <v>55</v>
      </c>
      <c r="W71" s="94" t="s">
        <v>27</v>
      </c>
      <c r="X71" s="94" t="s">
        <v>28</v>
      </c>
      <c r="Y71" s="94" t="s">
        <v>23</v>
      </c>
      <c r="Z71" s="95" t="s">
        <v>430</v>
      </c>
      <c r="AA71" s="124" t="s">
        <v>559</v>
      </c>
      <c r="AB71" s="94" t="s">
        <v>454</v>
      </c>
      <c r="AC71" s="96">
        <v>3</v>
      </c>
      <c r="AD71" s="97">
        <v>149</v>
      </c>
      <c r="AE71" s="98">
        <f>157*C71</f>
        <v>157</v>
      </c>
      <c r="AF71" s="99">
        <v>90</v>
      </c>
      <c r="AG71" s="94"/>
      <c r="AH71" s="91"/>
      <c r="AI71" s="87">
        <f t="shared" si="125"/>
        <v>2</v>
      </c>
      <c r="AJ71" s="91">
        <f t="shared" si="126"/>
        <v>2</v>
      </c>
      <c r="AK71" s="91">
        <f t="shared" si="124"/>
        <v>2</v>
      </c>
      <c r="AL71" s="87">
        <f t="shared" si="134"/>
        <v>5</v>
      </c>
      <c r="AM71" s="92">
        <f t="shared" si="128"/>
        <v>10.778947368421052</v>
      </c>
      <c r="AN71" s="73">
        <f t="shared" si="129"/>
        <v>1</v>
      </c>
      <c r="AO71" s="87">
        <v>2</v>
      </c>
      <c r="AP71" s="87">
        <v>1</v>
      </c>
      <c r="AQ71" s="87">
        <v>1</v>
      </c>
      <c r="AR71" s="87">
        <v>5</v>
      </c>
      <c r="AS71" s="87">
        <v>5</v>
      </c>
      <c r="AT71" s="87">
        <v>1</v>
      </c>
      <c r="AU71" s="87">
        <v>1</v>
      </c>
      <c r="AV71" s="87">
        <v>2.8</v>
      </c>
      <c r="AW71" s="87">
        <f t="shared" si="131"/>
        <v>2</v>
      </c>
      <c r="AX71" s="87">
        <f t="shared" si="132"/>
        <v>2</v>
      </c>
      <c r="AY71" s="91">
        <f t="shared" si="69"/>
        <v>4</v>
      </c>
      <c r="AZ71" s="91">
        <f t="shared" si="133"/>
        <v>4.79329884207933</v>
      </c>
      <c r="BA71" s="91"/>
      <c r="BB71" s="73">
        <v>0.02</v>
      </c>
      <c r="BC71" s="73">
        <f>AZ71*(1-BB71)+BA71*BB71</f>
        <v>4.697432865237743</v>
      </c>
      <c r="BD71" s="73">
        <v>4.840412061378459</v>
      </c>
      <c r="BE71" s="87">
        <v>5.7504095289176105</v>
      </c>
      <c r="BF71" s="42"/>
      <c r="BG71" s="42"/>
      <c r="BH71" s="42"/>
      <c r="BI71" s="42"/>
      <c r="BJ71" s="42"/>
      <c r="BK71" s="42"/>
      <c r="BL71" s="42"/>
      <c r="BM71" s="42"/>
      <c r="BN71" s="42"/>
      <c r="BO71" s="70"/>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row>
    <row r="72" spans="1:159" s="4" customFormat="1" ht="17.25">
      <c r="A72" s="71">
        <v>68</v>
      </c>
      <c r="B72" s="94" t="s">
        <v>56</v>
      </c>
      <c r="C72" s="94">
        <v>1</v>
      </c>
      <c r="D72" s="94">
        <v>1</v>
      </c>
      <c r="E72" s="75">
        <v>400</v>
      </c>
      <c r="F72" s="75">
        <v>1000</v>
      </c>
      <c r="G72" s="94">
        <f t="shared" si="130"/>
        <v>400</v>
      </c>
      <c r="H72" s="94">
        <v>16</v>
      </c>
      <c r="I72" s="72">
        <f t="shared" si="123"/>
        <v>4</v>
      </c>
      <c r="J72" s="94">
        <v>4</v>
      </c>
      <c r="K72" s="94">
        <v>4</v>
      </c>
      <c r="L72" s="100" t="s">
        <v>471</v>
      </c>
      <c r="M72" s="94">
        <v>4</v>
      </c>
      <c r="N72" s="100" t="s">
        <v>471</v>
      </c>
      <c r="O72" s="94" t="s">
        <v>47</v>
      </c>
      <c r="P72" s="77">
        <f t="shared" si="121"/>
        <v>8.17413283588931</v>
      </c>
      <c r="Q72" s="78"/>
      <c r="R72" s="78"/>
      <c r="S72" s="89">
        <v>256</v>
      </c>
      <c r="T72" s="24" t="s">
        <v>26</v>
      </c>
      <c r="U72" s="24" t="s">
        <v>26</v>
      </c>
      <c r="V72" s="94" t="s">
        <v>55</v>
      </c>
      <c r="W72" s="94" t="s">
        <v>27</v>
      </c>
      <c r="X72" s="94" t="s">
        <v>28</v>
      </c>
      <c r="Y72" s="94" t="s">
        <v>28</v>
      </c>
      <c r="Z72" s="95" t="s">
        <v>28</v>
      </c>
      <c r="AA72" s="95" t="s">
        <v>560</v>
      </c>
      <c r="AB72" s="94" t="s">
        <v>454</v>
      </c>
      <c r="AC72" s="96">
        <v>2</v>
      </c>
      <c r="AD72" s="83"/>
      <c r="AE72" s="98" t="s">
        <v>47</v>
      </c>
      <c r="AF72" s="99">
        <v>90</v>
      </c>
      <c r="AG72" s="94"/>
      <c r="AH72" s="91"/>
      <c r="AI72" s="87">
        <f t="shared" si="125"/>
        <v>1.6</v>
      </c>
      <c r="AJ72" s="91">
        <f t="shared" si="126"/>
        <v>1.6</v>
      </c>
      <c r="AK72" s="91">
        <f t="shared" si="124"/>
        <v>1.6</v>
      </c>
      <c r="AL72" s="87">
        <f t="shared" si="134"/>
        <v>1.3333333333333333</v>
      </c>
      <c r="AM72" s="92">
        <f t="shared" si="128"/>
        <v>1.7297297297297298</v>
      </c>
      <c r="AN72" s="73">
        <f t="shared" si="129"/>
        <v>1</v>
      </c>
      <c r="AO72" s="87">
        <v>2</v>
      </c>
      <c r="AP72" s="87">
        <v>1</v>
      </c>
      <c r="AQ72" s="87">
        <v>1</v>
      </c>
      <c r="AR72" s="87">
        <v>5</v>
      </c>
      <c r="AS72" s="87">
        <v>5</v>
      </c>
      <c r="AT72" s="87">
        <v>1</v>
      </c>
      <c r="AU72" s="87">
        <v>1</v>
      </c>
      <c r="AV72" s="87">
        <v>2.8</v>
      </c>
      <c r="AW72" s="87">
        <f t="shared" si="131"/>
        <v>1.6</v>
      </c>
      <c r="AX72" s="87">
        <f t="shared" si="132"/>
        <v>1.6000000000000003</v>
      </c>
      <c r="AY72" s="91">
        <f t="shared" si="69"/>
        <v>1.3714285714285714</v>
      </c>
      <c r="AZ72" s="91">
        <f t="shared" si="133"/>
        <v>1.4504970178926442</v>
      </c>
      <c r="BA72" s="91"/>
      <c r="BB72" s="73">
        <v>0.02</v>
      </c>
      <c r="BC72" s="73">
        <f>AZ72*(1-BB72)+BA72*BB72</f>
        <v>1.4214870775347912</v>
      </c>
      <c r="BD72" s="73">
        <v>4.840412061378459</v>
      </c>
      <c r="BE72" s="87">
        <v>5.7504095289176105</v>
      </c>
      <c r="BF72" s="42"/>
      <c r="BG72" s="42"/>
      <c r="BH72" s="42"/>
      <c r="BI72" s="42"/>
      <c r="BJ72" s="42"/>
      <c r="BK72" s="42"/>
      <c r="BL72" s="42"/>
      <c r="BM72" s="42"/>
      <c r="BN72" s="42"/>
      <c r="BO72" s="70"/>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row>
    <row r="73" spans="1:159" s="8" customFormat="1" ht="17.25">
      <c r="A73" s="143">
        <v>68.5</v>
      </c>
      <c r="B73" s="144" t="s">
        <v>18</v>
      </c>
      <c r="C73" s="144"/>
      <c r="D73" s="144"/>
      <c r="E73" s="144"/>
      <c r="F73" s="144"/>
      <c r="G73" s="144"/>
      <c r="H73" s="144"/>
      <c r="I73" s="144"/>
      <c r="J73" s="144"/>
      <c r="K73" s="144"/>
      <c r="L73" s="144"/>
      <c r="M73" s="144"/>
      <c r="N73" s="144"/>
      <c r="O73" s="144"/>
      <c r="P73" s="144"/>
      <c r="Q73" s="144"/>
      <c r="R73" s="144"/>
      <c r="S73" s="145"/>
      <c r="T73" s="146"/>
      <c r="U73" s="146"/>
      <c r="V73" s="144"/>
      <c r="W73" s="144"/>
      <c r="X73" s="144"/>
      <c r="Y73" s="144"/>
      <c r="Z73" s="147"/>
      <c r="AA73" s="147"/>
      <c r="AB73" s="144"/>
      <c r="AC73" s="148"/>
      <c r="AD73" s="149"/>
      <c r="AE73" s="150"/>
      <c r="AF73" s="151"/>
      <c r="AG73" s="144"/>
      <c r="AH73" s="103"/>
      <c r="AI73" s="103"/>
      <c r="AJ73" s="103"/>
      <c r="AK73" s="103"/>
      <c r="AL73" s="103"/>
      <c r="AM73" s="103"/>
      <c r="AN73" s="103"/>
      <c r="AO73" s="103" t="s">
        <v>370</v>
      </c>
      <c r="AP73" s="103"/>
      <c r="AQ73" s="103"/>
      <c r="AR73" s="103"/>
      <c r="AS73" s="87">
        <v>5</v>
      </c>
      <c r="AT73" s="103"/>
      <c r="AU73" s="103"/>
      <c r="AV73" s="103"/>
      <c r="AW73" s="103"/>
      <c r="AX73" s="103"/>
      <c r="AY73" s="103"/>
      <c r="AZ73" s="103"/>
      <c r="BA73" s="103"/>
      <c r="BB73" s="103"/>
      <c r="BC73" s="103"/>
      <c r="BD73" s="73">
        <v>4.840412061378459</v>
      </c>
      <c r="BE73" s="87">
        <v>5.7504095289176105</v>
      </c>
      <c r="BF73" s="104"/>
      <c r="BG73" s="104"/>
      <c r="BH73" s="104"/>
      <c r="BI73" s="104"/>
      <c r="BJ73" s="104"/>
      <c r="BK73" s="104"/>
      <c r="BL73" s="104"/>
      <c r="BM73" s="104"/>
      <c r="BN73" s="104"/>
      <c r="BO73" s="70"/>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c r="CM73" s="104"/>
      <c r="CN73" s="104"/>
      <c r="CO73" s="104"/>
      <c r="CP73" s="104"/>
      <c r="CQ73" s="104"/>
      <c r="CR73" s="104"/>
      <c r="CS73" s="104"/>
      <c r="CT73" s="104"/>
      <c r="CU73" s="104"/>
      <c r="CV73" s="63"/>
      <c r="CW73" s="63"/>
      <c r="CX73" s="63"/>
      <c r="CY73" s="63"/>
      <c r="CZ73" s="63"/>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c r="DY73" s="104"/>
      <c r="DZ73" s="104"/>
      <c r="EA73" s="104"/>
      <c r="EB73" s="104"/>
      <c r="EC73" s="104"/>
      <c r="ED73" s="104"/>
      <c r="EE73" s="104"/>
      <c r="EF73" s="104"/>
      <c r="EG73" s="104"/>
      <c r="EH73" s="104"/>
      <c r="EI73" s="104"/>
      <c r="EJ73" s="104"/>
      <c r="EK73" s="104"/>
      <c r="EL73" s="104"/>
      <c r="EM73" s="104"/>
      <c r="EN73" s="104"/>
      <c r="EO73" s="104"/>
      <c r="EP73" s="104"/>
      <c r="EQ73" s="104"/>
      <c r="ER73" s="104"/>
      <c r="ES73" s="104"/>
      <c r="ET73" s="104">
        <v>548</v>
      </c>
      <c r="EU73" s="104">
        <v>375</v>
      </c>
      <c r="EV73" s="104">
        <v>783</v>
      </c>
      <c r="EW73" s="104">
        <v>353</v>
      </c>
      <c r="EX73" s="104">
        <v>472</v>
      </c>
      <c r="EY73" s="104">
        <v>1888</v>
      </c>
      <c r="EZ73" s="104">
        <v>445</v>
      </c>
      <c r="FA73" s="104">
        <v>587</v>
      </c>
      <c r="FB73" s="104">
        <v>450</v>
      </c>
      <c r="FC73" s="104"/>
    </row>
    <row r="74" spans="1:169" s="167" customFormat="1" ht="17.25">
      <c r="A74" s="105">
        <v>69</v>
      </c>
      <c r="B74" s="72" t="s">
        <v>572</v>
      </c>
      <c r="C74" s="75">
        <v>1</v>
      </c>
      <c r="D74" s="72">
        <v>4</v>
      </c>
      <c r="E74" s="75">
        <v>700</v>
      </c>
      <c r="F74" s="75">
        <v>3696</v>
      </c>
      <c r="G74" s="75">
        <v>1401</v>
      </c>
      <c r="H74" s="72">
        <v>384</v>
      </c>
      <c r="I74" s="72">
        <v>60</v>
      </c>
      <c r="J74" s="72">
        <f>I74*4</f>
        <v>240</v>
      </c>
      <c r="K74" s="72">
        <v>48</v>
      </c>
      <c r="L74" s="125">
        <v>5</v>
      </c>
      <c r="M74" s="72">
        <v>480</v>
      </c>
      <c r="N74" s="125">
        <v>5</v>
      </c>
      <c r="O74" s="72" t="s">
        <v>21</v>
      </c>
      <c r="P74" s="77">
        <f aca="true" t="shared" si="135" ref="P74:P106">BC74*BD74</f>
        <v>811.6362258602356</v>
      </c>
      <c r="Q74" s="78"/>
      <c r="R74" s="78">
        <f>C74*FM74</f>
        <v>13960.784115257626</v>
      </c>
      <c r="S74" s="79">
        <v>1536</v>
      </c>
      <c r="T74" s="90">
        <v>50</v>
      </c>
      <c r="U74" s="90">
        <v>320</v>
      </c>
      <c r="V74" s="72" t="s">
        <v>37</v>
      </c>
      <c r="W74" s="72" t="s">
        <v>29</v>
      </c>
      <c r="X74" s="16" t="s">
        <v>39</v>
      </c>
      <c r="Y74" s="72" t="s">
        <v>40</v>
      </c>
      <c r="Z74" s="81">
        <v>10.5</v>
      </c>
      <c r="AA74" s="123" t="s">
        <v>559</v>
      </c>
      <c r="AB74" s="72">
        <v>11</v>
      </c>
      <c r="AC74" s="82">
        <v>5</v>
      </c>
      <c r="AD74" s="83">
        <v>529</v>
      </c>
      <c r="AE74" s="84">
        <v>3000</v>
      </c>
      <c r="AF74" s="85">
        <v>40</v>
      </c>
      <c r="AG74" s="72"/>
      <c r="AH74" s="142"/>
      <c r="AI74" s="142">
        <f aca="true" t="shared" si="136" ref="AI74:AI106">I74*E74/1000</f>
        <v>42</v>
      </c>
      <c r="AJ74" s="142">
        <f aca="true" t="shared" si="137" ref="AJ74:AJ106">J74*E74/1000</f>
        <v>168</v>
      </c>
      <c r="AK74" s="142">
        <f aca="true" t="shared" si="138" ref="AK74:AK106">K74*E74/1000</f>
        <v>33.6</v>
      </c>
      <c r="AL74" s="142">
        <f aca="true" t="shared" si="139" ref="AL74:AL120">M74*G74/3000</f>
        <v>224.16</v>
      </c>
      <c r="AM74" s="142">
        <f>H74*F74/(7400+AC74*200)+E74/50</f>
        <v>182.96</v>
      </c>
      <c r="AN74" s="120">
        <f aca="true" t="shared" si="140" ref="AN74:AN80">MIN(POWER(INT(MIN(C74,D74)),0.4)+LN(INT(MIN(C74,D74)))*0.63,2.35)</f>
        <v>1</v>
      </c>
      <c r="AO74" s="142">
        <v>2</v>
      </c>
      <c r="AP74" s="142">
        <v>1</v>
      </c>
      <c r="AQ74" s="142">
        <v>1</v>
      </c>
      <c r="AR74" s="142">
        <v>5</v>
      </c>
      <c r="AS74" s="142">
        <v>5</v>
      </c>
      <c r="AT74" s="142">
        <v>1</v>
      </c>
      <c r="AU74" s="142">
        <v>0.6</v>
      </c>
      <c r="AV74" s="142">
        <v>1</v>
      </c>
      <c r="AW74" s="142">
        <f aca="true" t="shared" si="141" ref="AW74:AW106">AI74*AJ74*(AO74+AP74)/(AI74*AO74+AJ74*AP74)</f>
        <v>84</v>
      </c>
      <c r="AX74" s="142">
        <f aca="true" t="shared" si="142" ref="AX74:AX106">(AQ74+AR74)*AW74*AK74/(AW74*AQ74+AK74*AR74)</f>
        <v>67.2</v>
      </c>
      <c r="AY74" s="142">
        <f aca="true" t="shared" si="143" ref="AY74:AY106">AX74*AL74*(AS74+AT74)/(AX74*AS74+AL74*AT74)</f>
        <v>161.34910025706944</v>
      </c>
      <c r="AZ74" s="142">
        <f aca="true" t="shared" si="144" ref="AZ74:AZ106">AY74*AM74*(AU74+AV74)/(AY74*AU74+AV74*AM74)*AN74</f>
        <v>168.82718430672634</v>
      </c>
      <c r="BA74" s="142">
        <f aca="true" t="shared" si="145" ref="BA74:BA80">AZ74*0.66</f>
        <v>111.42594164243938</v>
      </c>
      <c r="BB74" s="142">
        <v>0.02</v>
      </c>
      <c r="BC74" s="142">
        <f aca="true" t="shared" si="146" ref="BC74:BC106">AZ74*(1-BB74)+BA74*BB74</f>
        <v>167.67915945344058</v>
      </c>
      <c r="BD74" s="73">
        <v>4.840412061378459</v>
      </c>
      <c r="BE74" s="87">
        <v>5.7504095289176105</v>
      </c>
      <c r="BF74" s="142"/>
      <c r="BG74" s="142"/>
      <c r="BH74" s="142">
        <v>548</v>
      </c>
      <c r="BI74" s="142">
        <f aca="true" t="shared" si="147" ref="BI74:BI120">E74*K74/50</f>
        <v>672</v>
      </c>
      <c r="BJ74" s="142">
        <f aca="true" t="shared" si="148" ref="BJ74:BJ120">G74*M74/36000</f>
        <v>18.68</v>
      </c>
      <c r="BK74" s="142">
        <f aca="true" t="shared" si="149" ref="BK74:BK120">AM74/2</f>
        <v>91.48</v>
      </c>
      <c r="BL74" s="142">
        <v>8</v>
      </c>
      <c r="BM74" s="142">
        <v>6</v>
      </c>
      <c r="BN74" s="142">
        <v>1</v>
      </c>
      <c r="BO74" s="142">
        <f aca="true" t="shared" si="150" ref="BO74:BO120">20/(BL74/BI74+BM74/BJ74+BN74/BK74)</f>
        <v>58.13357678548361</v>
      </c>
      <c r="BP74" s="142">
        <f aca="true" t="shared" si="151" ref="BP74:BP120">POWER(BO74,1.08)*190</f>
        <v>15287.441535154485</v>
      </c>
      <c r="BQ74" s="142"/>
      <c r="BR74" s="142">
        <v>375</v>
      </c>
      <c r="BS74" s="142">
        <f aca="true" t="shared" si="152" ref="BS74:BS120">E74*K74/50</f>
        <v>672</v>
      </c>
      <c r="BT74" s="142">
        <f aca="true" t="shared" si="153" ref="BT74:BT120">G74*M74/36000</f>
        <v>18.68</v>
      </c>
      <c r="BU74" s="142">
        <f aca="true" t="shared" si="154" ref="BU74:BU120">AM74/2</f>
        <v>91.48</v>
      </c>
      <c r="BV74" s="142">
        <v>8</v>
      </c>
      <c r="BW74" s="142">
        <v>6</v>
      </c>
      <c r="BX74" s="142">
        <v>1</v>
      </c>
      <c r="BY74" s="142">
        <f aca="true" t="shared" si="155" ref="BY74:BY120">20/(BV74/BS74+BW74/BT74+BX74/BU74)</f>
        <v>58.13357678548361</v>
      </c>
      <c r="BZ74" s="142">
        <f aca="true" t="shared" si="156" ref="BZ74:BZ120">POWER(BY74,0.99)*290</f>
        <v>16187.53692460529</v>
      </c>
      <c r="CA74" s="142"/>
      <c r="CB74" s="142">
        <v>783</v>
      </c>
      <c r="CC74" s="142">
        <f aca="true" t="shared" si="157" ref="CC74:CC120">E74*K74/50</f>
        <v>672</v>
      </c>
      <c r="CD74" s="142">
        <f aca="true" t="shared" si="158" ref="CD74:CD120">G74*M74/36000</f>
        <v>18.68</v>
      </c>
      <c r="CE74" s="142">
        <f aca="true" t="shared" si="159" ref="CE74:CE120">AM74/2</f>
        <v>91.48</v>
      </c>
      <c r="CF74" s="142">
        <v>8</v>
      </c>
      <c r="CG74" s="142">
        <v>6</v>
      </c>
      <c r="CH74" s="142">
        <v>4</v>
      </c>
      <c r="CI74" s="142">
        <f aca="true" t="shared" si="160" ref="CI74:CI120">20/(CF74/CC74+CG74/CD74+CH74/CE74)</f>
        <v>53.074427806122806</v>
      </c>
      <c r="CJ74" s="142">
        <f aca="true" t="shared" si="161" ref="CJ74:CJ120">POWER(CI74,1.05)*300</f>
        <v>19420.07225847707</v>
      </c>
      <c r="CK74" s="142"/>
      <c r="CL74" s="142">
        <v>353</v>
      </c>
      <c r="CM74" s="142">
        <f aca="true" t="shared" si="162" ref="CM74:CM120">E74*K74/50</f>
        <v>672</v>
      </c>
      <c r="CN74" s="142">
        <f aca="true" t="shared" si="163" ref="CN74:CN120">G74*M74/36000</f>
        <v>18.68</v>
      </c>
      <c r="CO74" s="142">
        <f aca="true" t="shared" si="164" ref="CO74:CO120">AM74/2</f>
        <v>91.48</v>
      </c>
      <c r="CP74" s="142">
        <v>8</v>
      </c>
      <c r="CQ74" s="142">
        <v>6</v>
      </c>
      <c r="CR74" s="142">
        <v>1</v>
      </c>
      <c r="CS74" s="142">
        <f aca="true" t="shared" si="165" ref="CS74:CS120">20/(CP74/CM74+CQ74/CN74+CR74/CO74)</f>
        <v>58.13357678548361</v>
      </c>
      <c r="CT74" s="142">
        <f aca="true" t="shared" si="166" ref="CT74:CT80">POWER(CS74,0.96)*365</f>
        <v>18036.108004189988</v>
      </c>
      <c r="CU74" s="142"/>
      <c r="CV74" s="142">
        <v>472</v>
      </c>
      <c r="CW74" s="142">
        <f aca="true" t="shared" si="167" ref="CW74:CW120">E74*K74/50</f>
        <v>672</v>
      </c>
      <c r="CX74" s="142">
        <f aca="true" t="shared" si="168" ref="CX74:CX120">G74*M74/36000</f>
        <v>18.68</v>
      </c>
      <c r="CY74" s="142" t="b">
        <f>FH74=AM74/2</f>
        <v>0</v>
      </c>
      <c r="CZ74" s="142">
        <v>8</v>
      </c>
      <c r="DA74" s="142">
        <v>6</v>
      </c>
      <c r="DB74" s="142">
        <v>1</v>
      </c>
      <c r="DC74" s="142" t="e">
        <f aca="true" t="shared" si="169" ref="DC74:DC120">20/(CZ74/CW74+DA74/CX74+DB74/CY74)</f>
        <v>#DIV/0!</v>
      </c>
      <c r="DD74" s="142" t="e">
        <f aca="true" t="shared" si="170" ref="DD74:DD80">POWER(DC74,0.92)*355</f>
        <v>#DIV/0!</v>
      </c>
      <c r="DE74" s="142"/>
      <c r="DF74" s="142">
        <v>1888</v>
      </c>
      <c r="DG74" s="142">
        <f aca="true" t="shared" si="171" ref="DG74:DG120">E74*K74/50</f>
        <v>672</v>
      </c>
      <c r="DH74" s="142">
        <f aca="true" t="shared" si="172" ref="DH74:DH120">G74*M74/36000</f>
        <v>18.68</v>
      </c>
      <c r="DI74" s="142">
        <f aca="true" t="shared" si="173" ref="DI74:DI120">AM74/2</f>
        <v>91.48</v>
      </c>
      <c r="DJ74" s="142">
        <v>8</v>
      </c>
      <c r="DK74" s="142">
        <v>6</v>
      </c>
      <c r="DL74" s="142">
        <v>1</v>
      </c>
      <c r="DM74" s="142">
        <f aca="true" t="shared" si="174" ref="DM74:DM120">20/(DJ74/DG74+DK74/DH74+DL74/DI74)</f>
        <v>58.13357678548361</v>
      </c>
      <c r="DN74" s="142">
        <f aca="true" t="shared" si="175" ref="DN74:DN80">POWER(DM74,0.92)*351</f>
        <v>14742.800799650011</v>
      </c>
      <c r="DO74" s="142"/>
      <c r="DP74" s="142">
        <v>445</v>
      </c>
      <c r="DQ74" s="142">
        <f aca="true" t="shared" si="176" ref="DQ74:DQ120">E74*K74/50</f>
        <v>672</v>
      </c>
      <c r="DR74" s="142">
        <f aca="true" t="shared" si="177" ref="DR74:DR120">POWER(G74,2)*POWER(M74,0)/120000</f>
        <v>16.356675</v>
      </c>
      <c r="DS74" s="142">
        <f aca="true" t="shared" si="178" ref="DS74:DS120">AM74/2</f>
        <v>91.48</v>
      </c>
      <c r="DT74" s="142">
        <v>8</v>
      </c>
      <c r="DU74" s="142">
        <v>6</v>
      </c>
      <c r="DV74" s="142">
        <v>1</v>
      </c>
      <c r="DW74" s="142">
        <f aca="true" t="shared" si="179" ref="DW74:DW120">20/(DT74/DQ74+DU74/DR74+DV74/DS74)</f>
        <v>51.326951548505185</v>
      </c>
      <c r="DX74" s="142">
        <f aca="true" t="shared" si="180" ref="DX74:DX120">POWER(DW74,0.92)*180</f>
        <v>6742.024687812838</v>
      </c>
      <c r="DY74" s="142"/>
      <c r="DZ74" s="142">
        <v>587</v>
      </c>
      <c r="EA74" s="142">
        <f aca="true" t="shared" si="181" ref="EA74:EA120">E74*K74/50</f>
        <v>672</v>
      </c>
      <c r="EB74" s="142">
        <f aca="true" t="shared" si="182" ref="EB74:EB120">G74*M74/36000</f>
        <v>18.68</v>
      </c>
      <c r="EC74" s="142">
        <f aca="true" t="shared" si="183" ref="EC74:EC120">AM74/2</f>
        <v>91.48</v>
      </c>
      <c r="ED74" s="142">
        <v>8</v>
      </c>
      <c r="EE74" s="142">
        <v>6</v>
      </c>
      <c r="EF74" s="142">
        <v>1</v>
      </c>
      <c r="EG74" s="142">
        <f aca="true" t="shared" si="184" ref="EG74:EG120">20/(ED74/EA74+EE74/EB74+EF74/EC74)</f>
        <v>58.13357678548361</v>
      </c>
      <c r="EH74" s="142">
        <f aca="true" t="shared" si="185" ref="EH74:EH120">POWER(EG74,1.05)*280</f>
        <v>19943.731936863387</v>
      </c>
      <c r="EI74" s="142"/>
      <c r="EJ74" s="142">
        <v>450</v>
      </c>
      <c r="EK74" s="142">
        <f>E74*K74/1200</f>
        <v>28</v>
      </c>
      <c r="EL74" s="142">
        <f>G74*M74/36000</f>
        <v>18.68</v>
      </c>
      <c r="EM74" s="142">
        <f>AM74/5</f>
        <v>36.592</v>
      </c>
      <c r="EN74" s="142">
        <v>8</v>
      </c>
      <c r="EO74" s="142">
        <v>6</v>
      </c>
      <c r="EP74" s="142">
        <v>1</v>
      </c>
      <c r="EQ74" s="142">
        <f aca="true" t="shared" si="186" ref="EQ74:EQ120">20/(EN74/EK74+EO74/EL74+EP74/EM74)</f>
        <v>31.53371439754832</v>
      </c>
      <c r="ER74" s="142">
        <f aca="true" t="shared" si="187" ref="ER74:ER94">POWER(EQ74,1.05)*450</f>
        <v>16862.672295905304</v>
      </c>
      <c r="ES74" s="142"/>
      <c r="ET74" s="142">
        <v>0</v>
      </c>
      <c r="EU74" s="142">
        <v>0</v>
      </c>
      <c r="EV74" s="142">
        <v>6</v>
      </c>
      <c r="EW74" s="142">
        <v>39.8</v>
      </c>
      <c r="EX74" s="142">
        <v>0</v>
      </c>
      <c r="EY74" s="142">
        <v>0</v>
      </c>
      <c r="EZ74" s="142">
        <v>0</v>
      </c>
      <c r="FA74" s="142">
        <v>4.8</v>
      </c>
      <c r="FB74" s="142">
        <v>49.4</v>
      </c>
      <c r="FC74" s="142" t="e">
        <f aca="true" t="shared" si="188" ref="FC74:FC120">(BH74*ET74/100+BR74*EU74/100+CB74*EV74/100+CL74*EW74/100+CV74*EX74/100+DF74*EY74/100+DP74*EZ74/100+DZ74*FA74/100+EJ74*FB74/100)/(BH74/BP74*ET74/100+BR74/BZ74*EU74/100+CB74/CJ74*EV74/100+CL74/CT74*EW74/100+CV74/DD74*EX74/100+DF74/DN74*EY74/100+DP74/DX74*EZ74/100+DZ74/EH74*FA74/100+EJ74/ER74*FB74/100+0.000694444444444)</f>
        <v>#DIV/0!</v>
      </c>
      <c r="FE74" s="142">
        <v>611</v>
      </c>
      <c r="FF74" s="167">
        <f>E74*K74/50</f>
        <v>672</v>
      </c>
      <c r="FG74" s="167">
        <f>G74*M74/36000</f>
        <v>18.68</v>
      </c>
      <c r="FH74" s="167">
        <f>AM74/2+E74/30</f>
        <v>114.81333333333333</v>
      </c>
      <c r="FI74" s="167">
        <v>8</v>
      </c>
      <c r="FJ74" s="167">
        <v>6</v>
      </c>
      <c r="FK74" s="142">
        <v>0.66</v>
      </c>
      <c r="FL74" s="142">
        <f>20/(FI74/FF74+FJ74/FG74+FK74/FH74)</f>
        <v>59.02275435780396</v>
      </c>
      <c r="FM74" s="142">
        <f>POWER(FL74,1.12)*145</f>
        <v>13960.784115257626</v>
      </c>
    </row>
    <row r="75" spans="1:169" s="196" customFormat="1" ht="17.25" hidden="1">
      <c r="A75" s="182">
        <v>69.5</v>
      </c>
      <c r="B75" s="178" t="s">
        <v>624</v>
      </c>
      <c r="C75" s="178">
        <v>1</v>
      </c>
      <c r="D75" s="178">
        <v>2</v>
      </c>
      <c r="E75" s="178">
        <v>789</v>
      </c>
      <c r="F75" s="178">
        <v>3760</v>
      </c>
      <c r="G75" s="178">
        <v>1578</v>
      </c>
      <c r="H75" s="178">
        <v>256</v>
      </c>
      <c r="I75" s="178">
        <v>64</v>
      </c>
      <c r="J75" s="178">
        <f>I75*4</f>
        <v>256</v>
      </c>
      <c r="K75" s="178">
        <v>32</v>
      </c>
      <c r="L75" s="194">
        <v>5</v>
      </c>
      <c r="M75" s="178">
        <v>384</v>
      </c>
      <c r="N75" s="194">
        <v>5</v>
      </c>
      <c r="O75" s="178" t="s">
        <v>21</v>
      </c>
      <c r="P75" s="184">
        <f>BC75*BD75</f>
        <v>649.8143573485144</v>
      </c>
      <c r="Q75" s="184"/>
      <c r="R75" s="184">
        <f>C75*FM75</f>
        <v>12142.02384439224</v>
      </c>
      <c r="S75" s="185">
        <v>1024</v>
      </c>
      <c r="T75" s="195" t="s">
        <v>47</v>
      </c>
      <c r="U75" s="195" t="s">
        <v>47</v>
      </c>
      <c r="V75" s="178" t="s">
        <v>37</v>
      </c>
      <c r="W75" s="178" t="s">
        <v>47</v>
      </c>
      <c r="X75" s="187" t="s">
        <v>610</v>
      </c>
      <c r="Y75" s="178" t="s">
        <v>40</v>
      </c>
      <c r="Z75" s="188" t="s">
        <v>47</v>
      </c>
      <c r="AA75" s="189" t="s">
        <v>623</v>
      </c>
      <c r="AB75" s="178">
        <v>11</v>
      </c>
      <c r="AC75" s="190">
        <v>5</v>
      </c>
      <c r="AD75" s="191">
        <v>367</v>
      </c>
      <c r="AE75" s="192">
        <v>1950</v>
      </c>
      <c r="AF75" s="193">
        <v>40</v>
      </c>
      <c r="AG75" s="178"/>
      <c r="AH75" s="182"/>
      <c r="AI75" s="182">
        <f>I75*E75/1000</f>
        <v>50.496</v>
      </c>
      <c r="AJ75" s="182">
        <f>J75*E75/1000</f>
        <v>201.984</v>
      </c>
      <c r="AK75" s="182">
        <f>K75*E75/1000</f>
        <v>25.248</v>
      </c>
      <c r="AL75" s="182">
        <f>M75*G75/3000</f>
        <v>201.984</v>
      </c>
      <c r="AM75" s="182">
        <f aca="true" t="shared" si="189" ref="AM75:AM116">H75*F75/(7400+AC75*200)</f>
        <v>114.5904761904762</v>
      </c>
      <c r="AN75" s="182">
        <f>MIN(POWER(INT(MIN(C75,D75)),0.4)+LN(INT(MIN(C75,D75)))*0.63,2.35)</f>
        <v>1</v>
      </c>
      <c r="AO75" s="182">
        <v>2</v>
      </c>
      <c r="AP75" s="182">
        <v>1</v>
      </c>
      <c r="AQ75" s="182">
        <v>1</v>
      </c>
      <c r="AR75" s="182">
        <v>5</v>
      </c>
      <c r="AS75" s="182">
        <v>5</v>
      </c>
      <c r="AT75" s="182">
        <v>1</v>
      </c>
      <c r="AU75" s="182">
        <v>0.6</v>
      </c>
      <c r="AV75" s="182">
        <v>1</v>
      </c>
      <c r="AW75" s="182">
        <f>AI75*AJ75*(AO75+AP75)/(AI75*AO75+AJ75*AP75)</f>
        <v>100.99200000000002</v>
      </c>
      <c r="AX75" s="182">
        <f>(AQ75+AR75)*AW75*AK75/(AW75*AQ75+AK75*AR75)</f>
        <v>67.32800000000002</v>
      </c>
      <c r="AY75" s="182">
        <f>AX75*AL75*(AS75+AT75)/(AX75*AS75+AL75*AT75)</f>
        <v>151.488</v>
      </c>
      <c r="AZ75" s="182">
        <f>AY75*AM75*(AU75+AV75)/(AY75*AU75+AV75*AM75)*AN75</f>
        <v>135.1668700555587</v>
      </c>
      <c r="BA75" s="182">
        <f t="shared" si="145"/>
        <v>89.21013423666874</v>
      </c>
      <c r="BB75" s="182">
        <v>0.02</v>
      </c>
      <c r="BC75" s="182">
        <f t="shared" si="146"/>
        <v>134.24773533918088</v>
      </c>
      <c r="BD75" s="179">
        <v>4.840412061378459</v>
      </c>
      <c r="BE75" s="179">
        <v>5.7504095289176105</v>
      </c>
      <c r="BF75" s="182"/>
      <c r="BG75" s="182"/>
      <c r="BH75" s="182">
        <v>548</v>
      </c>
      <c r="BI75" s="182">
        <f>E75*K75/50</f>
        <v>504.96</v>
      </c>
      <c r="BJ75" s="182">
        <f>G75*M75/36000</f>
        <v>16.832</v>
      </c>
      <c r="BK75" s="182">
        <f>AM75/2</f>
        <v>57.2952380952381</v>
      </c>
      <c r="BL75" s="182">
        <v>8</v>
      </c>
      <c r="BM75" s="182">
        <v>6</v>
      </c>
      <c r="BN75" s="182">
        <v>1</v>
      </c>
      <c r="BO75" s="182">
        <f>20/(BL75/BI75+BM75/BJ75+BN75/BK75)</f>
        <v>51.31360588526226</v>
      </c>
      <c r="BP75" s="182">
        <f t="shared" si="151"/>
        <v>13359.947082909839</v>
      </c>
      <c r="BQ75" s="182"/>
      <c r="BR75" s="182">
        <v>375</v>
      </c>
      <c r="BS75" s="182">
        <f>E75*K75/50</f>
        <v>504.96</v>
      </c>
      <c r="BT75" s="182">
        <f>G75*M75/36000</f>
        <v>16.832</v>
      </c>
      <c r="BU75" s="182">
        <f>AM75/2</f>
        <v>57.2952380952381</v>
      </c>
      <c r="BV75" s="182">
        <v>8</v>
      </c>
      <c r="BW75" s="182">
        <v>6</v>
      </c>
      <c r="BX75" s="182">
        <v>1</v>
      </c>
      <c r="BY75" s="182">
        <f>20/(BV75/BS75+BW75/BT75+BX75/BU75)</f>
        <v>51.31360588526226</v>
      </c>
      <c r="BZ75" s="182">
        <f t="shared" si="156"/>
        <v>14306.328954075674</v>
      </c>
      <c r="CA75" s="182"/>
      <c r="CB75" s="182">
        <v>783</v>
      </c>
      <c r="CC75" s="182">
        <f>E75*K75/50</f>
        <v>504.96</v>
      </c>
      <c r="CD75" s="182">
        <f>G75*M75/36000</f>
        <v>16.832</v>
      </c>
      <c r="CE75" s="182">
        <f>AM75/2</f>
        <v>57.2952380952381</v>
      </c>
      <c r="CF75" s="182">
        <v>8</v>
      </c>
      <c r="CG75" s="182">
        <v>6</v>
      </c>
      <c r="CH75" s="182">
        <v>4</v>
      </c>
      <c r="CI75" s="182">
        <f>20/(CF75/CC75+CG75/CD75+CH75/CE75)</f>
        <v>45.236531368830356</v>
      </c>
      <c r="CJ75" s="182">
        <f t="shared" si="161"/>
        <v>16420.448551403657</v>
      </c>
      <c r="CK75" s="182"/>
      <c r="CL75" s="182">
        <v>353</v>
      </c>
      <c r="CM75" s="182">
        <f>E75*K75/50</f>
        <v>504.96</v>
      </c>
      <c r="CN75" s="182">
        <f>G75*M75/36000</f>
        <v>16.832</v>
      </c>
      <c r="CO75" s="182">
        <f>AM75/2</f>
        <v>57.2952380952381</v>
      </c>
      <c r="CP75" s="182">
        <v>8</v>
      </c>
      <c r="CQ75" s="182">
        <v>6</v>
      </c>
      <c r="CR75" s="182">
        <v>1</v>
      </c>
      <c r="CS75" s="182">
        <f>20/(CP75/CM75+CQ75/CN75+CR75/CO75)</f>
        <v>51.31360588526226</v>
      </c>
      <c r="CT75" s="182">
        <f t="shared" si="166"/>
        <v>15999.856860628319</v>
      </c>
      <c r="CU75" s="182"/>
      <c r="CV75" s="182">
        <v>472</v>
      </c>
      <c r="CW75" s="182">
        <f>E75*K75/50</f>
        <v>504.96</v>
      </c>
      <c r="CX75" s="182">
        <f>G75*M75/36000</f>
        <v>16.832</v>
      </c>
      <c r="CY75" s="182">
        <f>AM75/2</f>
        <v>57.2952380952381</v>
      </c>
      <c r="CZ75" s="182">
        <v>8</v>
      </c>
      <c r="DA75" s="182">
        <v>6</v>
      </c>
      <c r="DB75" s="182">
        <v>1</v>
      </c>
      <c r="DC75" s="182">
        <f>20/(CZ75/CW75+DA75/CX75+DB75/CY75)</f>
        <v>51.31360588526226</v>
      </c>
      <c r="DD75" s="182">
        <f t="shared" si="170"/>
        <v>13293.590135078732</v>
      </c>
      <c r="DE75" s="182"/>
      <c r="DF75" s="182">
        <v>1888</v>
      </c>
      <c r="DG75" s="182">
        <f>E75*K75/50</f>
        <v>504.96</v>
      </c>
      <c r="DH75" s="182">
        <f>G75*M75/36000</f>
        <v>16.832</v>
      </c>
      <c r="DI75" s="182">
        <f>AM75/2</f>
        <v>57.2952380952381</v>
      </c>
      <c r="DJ75" s="182">
        <v>8</v>
      </c>
      <c r="DK75" s="182">
        <v>6</v>
      </c>
      <c r="DL75" s="182">
        <v>1</v>
      </c>
      <c r="DM75" s="182">
        <f>20/(DJ75/DG75+DK75/DH75+DL75/DI75)</f>
        <v>51.31360588526226</v>
      </c>
      <c r="DN75" s="182">
        <f t="shared" si="175"/>
        <v>13143.803203979252</v>
      </c>
      <c r="DO75" s="182"/>
      <c r="DP75" s="182">
        <v>445</v>
      </c>
      <c r="DQ75" s="182">
        <f>E75*K75/50</f>
        <v>504.96</v>
      </c>
      <c r="DR75" s="182">
        <f>POWER(G75,2)*POWER(M75,0)/120000</f>
        <v>20.7507</v>
      </c>
      <c r="DS75" s="182">
        <f>AM75/2</f>
        <v>57.2952380952381</v>
      </c>
      <c r="DT75" s="182">
        <v>8</v>
      </c>
      <c r="DU75" s="182">
        <v>6</v>
      </c>
      <c r="DV75" s="182">
        <v>1</v>
      </c>
      <c r="DW75" s="182">
        <f>20/(DT75/DQ75+DU75/DR75+DV75/DS75)</f>
        <v>62.0264342535927</v>
      </c>
      <c r="DX75" s="182">
        <f t="shared" si="180"/>
        <v>8024.965522685059</v>
      </c>
      <c r="DY75" s="182"/>
      <c r="DZ75" s="182">
        <v>587</v>
      </c>
      <c r="EA75" s="182">
        <f>E75*K75/50</f>
        <v>504.96</v>
      </c>
      <c r="EB75" s="182">
        <f>G75*M75/36000</f>
        <v>16.832</v>
      </c>
      <c r="EC75" s="182">
        <f>AM75/2</f>
        <v>57.2952380952381</v>
      </c>
      <c r="ED75" s="182">
        <v>8</v>
      </c>
      <c r="EE75" s="182">
        <v>6</v>
      </c>
      <c r="EF75" s="182">
        <v>1</v>
      </c>
      <c r="EG75" s="182">
        <f>20/(ED75/EA75+EE75/EB75+EF75/EC75)</f>
        <v>51.31360588526226</v>
      </c>
      <c r="EH75" s="182">
        <f t="shared" si="185"/>
        <v>17494.526491309916</v>
      </c>
      <c r="EI75" s="182"/>
      <c r="EJ75" s="182">
        <v>450</v>
      </c>
      <c r="EK75" s="182">
        <f>E75*K75/1200</f>
        <v>21.04</v>
      </c>
      <c r="EL75" s="182">
        <f>G75*M75/36000</f>
        <v>16.832</v>
      </c>
      <c r="EM75" s="182">
        <f>AM75/5</f>
        <v>22.91809523809524</v>
      </c>
      <c r="EN75" s="182">
        <v>8</v>
      </c>
      <c r="EO75" s="182">
        <v>6</v>
      </c>
      <c r="EP75" s="182">
        <v>1</v>
      </c>
      <c r="EQ75" s="182">
        <f>20/(EN75/EK75+EO75/EL75+EP75/EM75)</f>
        <v>25.63032469044558</v>
      </c>
      <c r="ER75" s="182">
        <f t="shared" si="187"/>
        <v>13564.516779564947</v>
      </c>
      <c r="ES75" s="182"/>
      <c r="ET75" s="182">
        <v>0</v>
      </c>
      <c r="EU75" s="182">
        <v>0</v>
      </c>
      <c r="EV75" s="182">
        <v>6</v>
      </c>
      <c r="EW75" s="182">
        <v>39.8</v>
      </c>
      <c r="EX75" s="182">
        <v>0</v>
      </c>
      <c r="EY75" s="182">
        <v>0</v>
      </c>
      <c r="EZ75" s="182">
        <v>0</v>
      </c>
      <c r="FA75" s="182">
        <v>4.8</v>
      </c>
      <c r="FB75" s="182">
        <v>49.4</v>
      </c>
      <c r="FC75" s="182">
        <f>(BH75*ET75/100+BR75*EU75/100+CB75*EV75/100+CL75*EW75/100+CV75*EX75/100+DF75*EY75/100+DP75*EZ75/100+DZ75*FA75/100+EJ75*FB75/100)/(BH75/BP75*ET75/100+BR75/BZ75*EU75/100+CB75/CJ75*EV75/100+CL75/CT75*EW75/100+CV75/DD75*EX75/100+DF75/DN75*EY75/100+DP75/DX75*EZ75/100+DZ75/EH75*FA75/100+EJ75/ER75*FB75/100+0.000694444444444)</f>
        <v>14436.941755733147</v>
      </c>
      <c r="FE75" s="182">
        <v>611</v>
      </c>
      <c r="FF75" s="196">
        <f>E75*K75/50</f>
        <v>504.96</v>
      </c>
      <c r="FG75" s="196">
        <f>G75*M75/36000</f>
        <v>16.832</v>
      </c>
      <c r="FH75" s="196">
        <f>AM75/2</f>
        <v>57.2952380952381</v>
      </c>
      <c r="FI75" s="196">
        <v>8</v>
      </c>
      <c r="FJ75" s="196">
        <v>6</v>
      </c>
      <c r="FK75" s="182">
        <v>0.66</v>
      </c>
      <c r="FL75" s="182">
        <f>20/(FI75/FF75+FJ75/FG75+FK75/FH75)</f>
        <v>52.1069443903946</v>
      </c>
      <c r="FM75" s="182">
        <f aca="true" t="shared" si="190" ref="FM75:FM80">POWER(FL75,1.12)*145</f>
        <v>12142.02384439224</v>
      </c>
    </row>
    <row r="76" spans="1:169" s="167" customFormat="1" ht="17.25">
      <c r="A76" s="105">
        <v>70</v>
      </c>
      <c r="B76" s="72" t="s">
        <v>571</v>
      </c>
      <c r="C76" s="75">
        <v>1</v>
      </c>
      <c r="D76" s="72">
        <v>4</v>
      </c>
      <c r="E76" s="75">
        <v>607</v>
      </c>
      <c r="F76" s="75">
        <v>3348</v>
      </c>
      <c r="G76" s="75">
        <v>1215</v>
      </c>
      <c r="H76" s="72">
        <v>320</v>
      </c>
      <c r="I76" s="72">
        <v>56</v>
      </c>
      <c r="J76" s="72">
        <f>I76*4</f>
        <v>224</v>
      </c>
      <c r="K76" s="72">
        <v>40</v>
      </c>
      <c r="L76" s="125">
        <v>5</v>
      </c>
      <c r="M76" s="72">
        <v>448</v>
      </c>
      <c r="N76" s="125">
        <v>5</v>
      </c>
      <c r="O76" s="72" t="s">
        <v>21</v>
      </c>
      <c r="P76" s="77">
        <f t="shared" si="135"/>
        <v>636.9995049765026</v>
      </c>
      <c r="Q76" s="78"/>
      <c r="R76" s="78">
        <f aca="true" t="shared" si="191" ref="R76:R120">C76*FM76</f>
        <v>10958.640201777762</v>
      </c>
      <c r="S76" s="79">
        <v>1280</v>
      </c>
      <c r="T76" s="90">
        <v>45</v>
      </c>
      <c r="U76" s="90">
        <v>235</v>
      </c>
      <c r="V76" s="72" t="s">
        <v>37</v>
      </c>
      <c r="W76" s="72" t="s">
        <v>38</v>
      </c>
      <c r="X76" s="16" t="s">
        <v>39</v>
      </c>
      <c r="Y76" s="72" t="s">
        <v>40</v>
      </c>
      <c r="Z76" s="81">
        <v>9.5</v>
      </c>
      <c r="AA76" s="123" t="s">
        <v>559</v>
      </c>
      <c r="AB76" s="72">
        <v>11</v>
      </c>
      <c r="AC76" s="82">
        <v>5</v>
      </c>
      <c r="AD76" s="83">
        <v>529</v>
      </c>
      <c r="AE76" s="84">
        <v>3000</v>
      </c>
      <c r="AF76" s="85">
        <v>40</v>
      </c>
      <c r="AG76" s="72"/>
      <c r="AH76" s="142"/>
      <c r="AI76" s="142">
        <f t="shared" si="136"/>
        <v>33.992</v>
      </c>
      <c r="AJ76" s="142">
        <f t="shared" si="137"/>
        <v>135.968</v>
      </c>
      <c r="AK76" s="142">
        <f t="shared" si="138"/>
        <v>24.28</v>
      </c>
      <c r="AL76" s="142">
        <f t="shared" si="139"/>
        <v>181.44</v>
      </c>
      <c r="AM76" s="142">
        <f>H76*F76/(7400+AC76*200)+E76/50</f>
        <v>139.68285714285713</v>
      </c>
      <c r="AN76" s="120">
        <f t="shared" si="140"/>
        <v>1</v>
      </c>
      <c r="AO76" s="142">
        <v>2</v>
      </c>
      <c r="AP76" s="142">
        <v>1</v>
      </c>
      <c r="AQ76" s="142">
        <v>1</v>
      </c>
      <c r="AR76" s="142">
        <v>5</v>
      </c>
      <c r="AS76" s="142">
        <v>5</v>
      </c>
      <c r="AT76" s="142">
        <v>1</v>
      </c>
      <c r="AU76" s="142">
        <v>0.6</v>
      </c>
      <c r="AV76" s="142">
        <v>1</v>
      </c>
      <c r="AW76" s="142">
        <f t="shared" si="141"/>
        <v>67.98399999999998</v>
      </c>
      <c r="AX76" s="142">
        <f t="shared" si="142"/>
        <v>52.29538461538461</v>
      </c>
      <c r="AY76" s="142">
        <f t="shared" si="143"/>
        <v>128.53617584127602</v>
      </c>
      <c r="AZ76" s="142">
        <f t="shared" si="144"/>
        <v>132.50127261875124</v>
      </c>
      <c r="BA76" s="142">
        <f t="shared" si="145"/>
        <v>87.45083992837583</v>
      </c>
      <c r="BB76" s="142">
        <v>0.02</v>
      </c>
      <c r="BC76" s="142">
        <f t="shared" si="146"/>
        <v>131.60026396494374</v>
      </c>
      <c r="BD76" s="73">
        <v>4.840412061378459</v>
      </c>
      <c r="BE76" s="87">
        <v>5.7504095289176105</v>
      </c>
      <c r="BF76" s="142"/>
      <c r="BG76" s="142"/>
      <c r="BH76" s="142">
        <v>548</v>
      </c>
      <c r="BI76" s="142">
        <f t="shared" si="147"/>
        <v>485.6</v>
      </c>
      <c r="BJ76" s="142">
        <f t="shared" si="148"/>
        <v>15.12</v>
      </c>
      <c r="BK76" s="142">
        <f t="shared" si="149"/>
        <v>69.84142857142857</v>
      </c>
      <c r="BL76" s="142">
        <v>8</v>
      </c>
      <c r="BM76" s="142">
        <v>6</v>
      </c>
      <c r="BN76" s="142">
        <v>1</v>
      </c>
      <c r="BO76" s="142">
        <f t="shared" si="150"/>
        <v>46.77071475097961</v>
      </c>
      <c r="BP76" s="142">
        <f t="shared" si="151"/>
        <v>12087.194994920646</v>
      </c>
      <c r="BQ76" s="142"/>
      <c r="BR76" s="142">
        <v>375</v>
      </c>
      <c r="BS76" s="142">
        <f t="shared" si="152"/>
        <v>485.6</v>
      </c>
      <c r="BT76" s="142">
        <f t="shared" si="153"/>
        <v>15.12</v>
      </c>
      <c r="BU76" s="142">
        <f t="shared" si="154"/>
        <v>69.84142857142857</v>
      </c>
      <c r="BV76" s="142">
        <v>8</v>
      </c>
      <c r="BW76" s="142">
        <v>6</v>
      </c>
      <c r="BX76" s="142">
        <v>1</v>
      </c>
      <c r="BY76" s="142">
        <f t="shared" si="155"/>
        <v>46.77071475097961</v>
      </c>
      <c r="BZ76" s="142">
        <f t="shared" si="156"/>
        <v>13051.855731856218</v>
      </c>
      <c r="CA76" s="142"/>
      <c r="CB76" s="142">
        <v>783</v>
      </c>
      <c r="CC76" s="142">
        <f t="shared" si="157"/>
        <v>485.6</v>
      </c>
      <c r="CD76" s="142">
        <f t="shared" si="158"/>
        <v>15.12</v>
      </c>
      <c r="CE76" s="142">
        <f t="shared" si="159"/>
        <v>69.84142857142857</v>
      </c>
      <c r="CF76" s="142">
        <v>8</v>
      </c>
      <c r="CG76" s="142">
        <v>6</v>
      </c>
      <c r="CH76" s="142">
        <v>4</v>
      </c>
      <c r="CI76" s="142">
        <f t="shared" si="160"/>
        <v>42.50142488831213</v>
      </c>
      <c r="CJ76" s="142">
        <f t="shared" si="161"/>
        <v>15379.595724424118</v>
      </c>
      <c r="CK76" s="142"/>
      <c r="CL76" s="142">
        <v>353</v>
      </c>
      <c r="CM76" s="142">
        <f t="shared" si="162"/>
        <v>485.6</v>
      </c>
      <c r="CN76" s="142">
        <f t="shared" si="163"/>
        <v>15.12</v>
      </c>
      <c r="CO76" s="142">
        <f t="shared" si="164"/>
        <v>69.84142857142857</v>
      </c>
      <c r="CP76" s="142">
        <v>8</v>
      </c>
      <c r="CQ76" s="142">
        <v>6</v>
      </c>
      <c r="CR76" s="142">
        <v>1</v>
      </c>
      <c r="CS76" s="142">
        <f t="shared" si="165"/>
        <v>46.77071475097961</v>
      </c>
      <c r="CT76" s="142">
        <f t="shared" si="166"/>
        <v>14637.53380381888</v>
      </c>
      <c r="CU76" s="142"/>
      <c r="CV76" s="142">
        <v>472</v>
      </c>
      <c r="CW76" s="142">
        <f t="shared" si="167"/>
        <v>485.6</v>
      </c>
      <c r="CX76" s="142">
        <f t="shared" si="168"/>
        <v>15.12</v>
      </c>
      <c r="CY76" s="142">
        <f aca="true" t="shared" si="192" ref="CY76:CY120">AM76/2</f>
        <v>69.84142857142857</v>
      </c>
      <c r="CZ76" s="142">
        <v>8</v>
      </c>
      <c r="DA76" s="142">
        <v>6</v>
      </c>
      <c r="DB76" s="142">
        <v>1</v>
      </c>
      <c r="DC76" s="142">
        <f t="shared" si="169"/>
        <v>46.77071475097961</v>
      </c>
      <c r="DD76" s="142">
        <f t="shared" si="170"/>
        <v>12206.873369753572</v>
      </c>
      <c r="DE76" s="142"/>
      <c r="DF76" s="142">
        <v>1888</v>
      </c>
      <c r="DG76" s="142">
        <f t="shared" si="171"/>
        <v>485.6</v>
      </c>
      <c r="DH76" s="142">
        <f t="shared" si="172"/>
        <v>15.12</v>
      </c>
      <c r="DI76" s="142">
        <f t="shared" si="173"/>
        <v>69.84142857142857</v>
      </c>
      <c r="DJ76" s="142">
        <v>8</v>
      </c>
      <c r="DK76" s="142">
        <v>6</v>
      </c>
      <c r="DL76" s="142">
        <v>1</v>
      </c>
      <c r="DM76" s="142">
        <f t="shared" si="174"/>
        <v>46.77071475097961</v>
      </c>
      <c r="DN76" s="142">
        <f t="shared" si="175"/>
        <v>12069.33113460142</v>
      </c>
      <c r="DO76" s="142"/>
      <c r="DP76" s="142">
        <v>445</v>
      </c>
      <c r="DQ76" s="142">
        <f t="shared" si="176"/>
        <v>485.6</v>
      </c>
      <c r="DR76" s="142">
        <f t="shared" si="177"/>
        <v>12.301875</v>
      </c>
      <c r="DS76" s="142">
        <f t="shared" si="178"/>
        <v>69.84142857142857</v>
      </c>
      <c r="DT76" s="142">
        <v>8</v>
      </c>
      <c r="DU76" s="142">
        <v>6</v>
      </c>
      <c r="DV76" s="142">
        <v>1</v>
      </c>
      <c r="DW76" s="142">
        <f t="shared" si="179"/>
        <v>38.57108458906891</v>
      </c>
      <c r="DX76" s="142">
        <f t="shared" si="180"/>
        <v>5183.622998770355</v>
      </c>
      <c r="DY76" s="142"/>
      <c r="DZ76" s="142">
        <v>587</v>
      </c>
      <c r="EA76" s="142">
        <f t="shared" si="181"/>
        <v>485.6</v>
      </c>
      <c r="EB76" s="142">
        <f t="shared" si="182"/>
        <v>15.12</v>
      </c>
      <c r="EC76" s="142">
        <f t="shared" si="183"/>
        <v>69.84142857142857</v>
      </c>
      <c r="ED76" s="142">
        <v>8</v>
      </c>
      <c r="EE76" s="142">
        <v>6</v>
      </c>
      <c r="EF76" s="142">
        <v>1</v>
      </c>
      <c r="EG76" s="142">
        <f t="shared" si="184"/>
        <v>46.77071475097961</v>
      </c>
      <c r="EH76" s="142">
        <f t="shared" si="185"/>
        <v>15871.966513487674</v>
      </c>
      <c r="EI76" s="142"/>
      <c r="EJ76" s="142">
        <v>450</v>
      </c>
      <c r="EK76" s="142">
        <f aca="true" t="shared" si="193" ref="EK76:EK120">E76*K76/1200</f>
        <v>20.233333333333334</v>
      </c>
      <c r="EL76" s="142">
        <f aca="true" t="shared" si="194" ref="EL76:EL120">G76*M76/36000</f>
        <v>15.12</v>
      </c>
      <c r="EM76" s="142">
        <f aca="true" t="shared" si="195" ref="EM76:EM120">AM76/5</f>
        <v>27.936571428571426</v>
      </c>
      <c r="EN76" s="142">
        <v>8</v>
      </c>
      <c r="EO76" s="142">
        <v>6</v>
      </c>
      <c r="EP76" s="142">
        <v>1</v>
      </c>
      <c r="EQ76" s="142">
        <f t="shared" si="186"/>
        <v>24.15435833217801</v>
      </c>
      <c r="ER76" s="142">
        <f t="shared" si="187"/>
        <v>12745.526897657668</v>
      </c>
      <c r="ES76" s="142"/>
      <c r="ET76" s="142">
        <v>0</v>
      </c>
      <c r="EU76" s="142">
        <v>0</v>
      </c>
      <c r="EV76" s="142">
        <v>6</v>
      </c>
      <c r="EW76" s="142">
        <v>39.8</v>
      </c>
      <c r="EX76" s="142">
        <v>0</v>
      </c>
      <c r="EY76" s="142">
        <v>0</v>
      </c>
      <c r="EZ76" s="142">
        <v>0</v>
      </c>
      <c r="FA76" s="142">
        <v>4.8</v>
      </c>
      <c r="FB76" s="142">
        <v>49.4</v>
      </c>
      <c r="FC76" s="142">
        <f t="shared" si="188"/>
        <v>13448.916662081934</v>
      </c>
      <c r="FE76" s="142">
        <v>611</v>
      </c>
      <c r="FF76" s="167">
        <f aca="true" t="shared" si="196" ref="FF76:FF120">E76*K76/50</f>
        <v>485.6</v>
      </c>
      <c r="FG76" s="167">
        <f aca="true" t="shared" si="197" ref="FG76:FG120">G76*M76/36000</f>
        <v>15.12</v>
      </c>
      <c r="FH76" s="167">
        <f>AM76/2+E76/30</f>
        <v>90.0747619047619</v>
      </c>
      <c r="FI76" s="167">
        <v>8</v>
      </c>
      <c r="FJ76" s="167">
        <v>6</v>
      </c>
      <c r="FK76" s="142">
        <v>0.66</v>
      </c>
      <c r="FL76" s="142">
        <f aca="true" t="shared" si="198" ref="FL76:FL120">20/(FI76/FF76+FJ76/FG76+FK76/FH76)</f>
        <v>47.548052932448606</v>
      </c>
      <c r="FM76" s="142">
        <f t="shared" si="190"/>
        <v>10958.640201777762</v>
      </c>
    </row>
    <row r="77" spans="1:169" s="167" customFormat="1" ht="17.25">
      <c r="A77" s="105">
        <v>71</v>
      </c>
      <c r="B77" s="72" t="s">
        <v>599</v>
      </c>
      <c r="C77" s="75">
        <v>1</v>
      </c>
      <c r="D77" s="72">
        <v>4</v>
      </c>
      <c r="E77" s="75">
        <v>607</v>
      </c>
      <c r="F77" s="75">
        <v>3348</v>
      </c>
      <c r="G77" s="75">
        <v>1215</v>
      </c>
      <c r="H77" s="72">
        <v>256</v>
      </c>
      <c r="I77" s="72">
        <v>44</v>
      </c>
      <c r="J77" s="72">
        <v>176</v>
      </c>
      <c r="K77" s="72">
        <v>32</v>
      </c>
      <c r="L77" s="125">
        <v>5</v>
      </c>
      <c r="M77" s="72">
        <v>352</v>
      </c>
      <c r="N77" s="125">
        <v>5</v>
      </c>
      <c r="O77" s="72" t="s">
        <v>21</v>
      </c>
      <c r="P77" s="77">
        <f t="shared" si="135"/>
        <v>508.3658354802584</v>
      </c>
      <c r="Q77" s="78"/>
      <c r="R77" s="78">
        <f t="shared" si="191"/>
        <v>8385.171031085649</v>
      </c>
      <c r="S77" s="79">
        <v>1024</v>
      </c>
      <c r="T77" s="90">
        <v>45</v>
      </c>
      <c r="U77" s="90">
        <v>220</v>
      </c>
      <c r="V77" s="72" t="s">
        <v>37</v>
      </c>
      <c r="W77" s="72" t="s">
        <v>38</v>
      </c>
      <c r="X77" s="16" t="s">
        <v>39</v>
      </c>
      <c r="Y77" s="72" t="s">
        <v>40</v>
      </c>
      <c r="Z77" s="81">
        <v>9.5</v>
      </c>
      <c r="AA77" s="123" t="s">
        <v>559</v>
      </c>
      <c r="AB77" s="72">
        <v>11</v>
      </c>
      <c r="AC77" s="82">
        <v>5</v>
      </c>
      <c r="AD77" s="83">
        <v>529</v>
      </c>
      <c r="AE77" s="84">
        <v>3000</v>
      </c>
      <c r="AF77" s="85">
        <v>40</v>
      </c>
      <c r="AG77" s="72"/>
      <c r="AH77" s="142"/>
      <c r="AI77" s="142">
        <f t="shared" si="136"/>
        <v>26.708</v>
      </c>
      <c r="AJ77" s="142">
        <f t="shared" si="137"/>
        <v>106.832</v>
      </c>
      <c r="AK77" s="142">
        <f t="shared" si="138"/>
        <v>19.424</v>
      </c>
      <c r="AL77" s="142">
        <f t="shared" si="139"/>
        <v>142.56</v>
      </c>
      <c r="AM77" s="142">
        <f>H77*F77/(7400+AC77*200)+E77/50</f>
        <v>114.17428571428572</v>
      </c>
      <c r="AN77" s="120">
        <f t="shared" si="140"/>
        <v>1</v>
      </c>
      <c r="AO77" s="142">
        <v>2</v>
      </c>
      <c r="AP77" s="142">
        <v>1</v>
      </c>
      <c r="AQ77" s="142">
        <v>1</v>
      </c>
      <c r="AR77" s="142">
        <v>5</v>
      </c>
      <c r="AS77" s="142">
        <v>5</v>
      </c>
      <c r="AT77" s="142">
        <v>1</v>
      </c>
      <c r="AU77" s="142">
        <v>0.6</v>
      </c>
      <c r="AV77" s="142">
        <v>1</v>
      </c>
      <c r="AW77" s="142">
        <f t="shared" si="141"/>
        <v>53.416</v>
      </c>
      <c r="AX77" s="142">
        <f t="shared" si="142"/>
        <v>41.35432258064516</v>
      </c>
      <c r="AY77" s="142">
        <f t="shared" si="143"/>
        <v>101.25860945880058</v>
      </c>
      <c r="AZ77" s="142">
        <f t="shared" si="144"/>
        <v>105.74438383513919</v>
      </c>
      <c r="BA77" s="142">
        <f t="shared" si="145"/>
        <v>69.79129333119187</v>
      </c>
      <c r="BB77" s="142">
        <v>0.02</v>
      </c>
      <c r="BC77" s="142">
        <f t="shared" si="146"/>
        <v>105.02532202506025</v>
      </c>
      <c r="BD77" s="73">
        <v>4.840412061378459</v>
      </c>
      <c r="BE77" s="87">
        <v>5.7504095289176105</v>
      </c>
      <c r="BF77" s="142"/>
      <c r="BG77" s="142"/>
      <c r="BH77" s="142">
        <v>548</v>
      </c>
      <c r="BI77" s="142">
        <f t="shared" si="147"/>
        <v>388.48</v>
      </c>
      <c r="BJ77" s="142">
        <f t="shared" si="148"/>
        <v>11.88</v>
      </c>
      <c r="BK77" s="142">
        <f t="shared" si="149"/>
        <v>57.08714285714286</v>
      </c>
      <c r="BL77" s="142">
        <v>8</v>
      </c>
      <c r="BM77" s="142">
        <v>6</v>
      </c>
      <c r="BN77" s="142">
        <v>1</v>
      </c>
      <c r="BO77" s="142">
        <f t="shared" si="150"/>
        <v>36.82151763082392</v>
      </c>
      <c r="BP77" s="142">
        <f t="shared" si="151"/>
        <v>9335.62546697214</v>
      </c>
      <c r="BQ77" s="142"/>
      <c r="BR77" s="142">
        <v>375</v>
      </c>
      <c r="BS77" s="142">
        <f t="shared" si="152"/>
        <v>388.48</v>
      </c>
      <c r="BT77" s="142">
        <f t="shared" si="153"/>
        <v>11.88</v>
      </c>
      <c r="BU77" s="142">
        <f t="shared" si="154"/>
        <v>57.08714285714286</v>
      </c>
      <c r="BV77" s="142">
        <v>8</v>
      </c>
      <c r="BW77" s="142">
        <v>6</v>
      </c>
      <c r="BX77" s="142">
        <v>1</v>
      </c>
      <c r="BY77" s="142">
        <f t="shared" si="155"/>
        <v>36.82151763082392</v>
      </c>
      <c r="BZ77" s="142">
        <f t="shared" si="156"/>
        <v>10300.034168867418</v>
      </c>
      <c r="CA77" s="142"/>
      <c r="CB77" s="142">
        <v>783</v>
      </c>
      <c r="CC77" s="142">
        <f t="shared" si="157"/>
        <v>388.48</v>
      </c>
      <c r="CD77" s="142">
        <f t="shared" si="158"/>
        <v>11.88</v>
      </c>
      <c r="CE77" s="142">
        <f t="shared" si="159"/>
        <v>57.08714285714286</v>
      </c>
      <c r="CF77" s="142">
        <v>8</v>
      </c>
      <c r="CG77" s="142">
        <v>6</v>
      </c>
      <c r="CH77" s="142">
        <v>4</v>
      </c>
      <c r="CI77" s="142">
        <f t="shared" si="160"/>
        <v>33.57327580657495</v>
      </c>
      <c r="CJ77" s="142">
        <f t="shared" si="161"/>
        <v>12006.451167845831</v>
      </c>
      <c r="CK77" s="142"/>
      <c r="CL77" s="142">
        <v>353</v>
      </c>
      <c r="CM77" s="142">
        <f t="shared" si="162"/>
        <v>388.48</v>
      </c>
      <c r="CN77" s="142">
        <f t="shared" si="163"/>
        <v>11.88</v>
      </c>
      <c r="CO77" s="142">
        <f t="shared" si="164"/>
        <v>57.08714285714286</v>
      </c>
      <c r="CP77" s="142">
        <v>8</v>
      </c>
      <c r="CQ77" s="142">
        <v>6</v>
      </c>
      <c r="CR77" s="142">
        <v>1</v>
      </c>
      <c r="CS77" s="142">
        <f t="shared" si="165"/>
        <v>36.82151763082392</v>
      </c>
      <c r="CT77" s="142">
        <f t="shared" si="166"/>
        <v>11634.573872064511</v>
      </c>
      <c r="CU77" s="142"/>
      <c r="CV77" s="142">
        <v>472</v>
      </c>
      <c r="CW77" s="142">
        <f t="shared" si="167"/>
        <v>388.48</v>
      </c>
      <c r="CX77" s="142">
        <f t="shared" si="168"/>
        <v>11.88</v>
      </c>
      <c r="CY77" s="142">
        <f t="shared" si="192"/>
        <v>57.08714285714286</v>
      </c>
      <c r="CZ77" s="142">
        <v>8</v>
      </c>
      <c r="DA77" s="142">
        <v>6</v>
      </c>
      <c r="DB77" s="142">
        <v>1</v>
      </c>
      <c r="DC77" s="142">
        <f t="shared" si="169"/>
        <v>36.82151763082392</v>
      </c>
      <c r="DD77" s="142">
        <f t="shared" si="170"/>
        <v>9795.844955274466</v>
      </c>
      <c r="DE77" s="142"/>
      <c r="DF77" s="142">
        <v>1888</v>
      </c>
      <c r="DG77" s="142">
        <f t="shared" si="171"/>
        <v>388.48</v>
      </c>
      <c r="DH77" s="142">
        <f t="shared" si="172"/>
        <v>11.88</v>
      </c>
      <c r="DI77" s="142">
        <f t="shared" si="173"/>
        <v>57.08714285714286</v>
      </c>
      <c r="DJ77" s="142">
        <v>8</v>
      </c>
      <c r="DK77" s="142">
        <v>6</v>
      </c>
      <c r="DL77" s="142">
        <v>1</v>
      </c>
      <c r="DM77" s="142">
        <f t="shared" si="174"/>
        <v>36.82151763082392</v>
      </c>
      <c r="DN77" s="142">
        <f t="shared" si="175"/>
        <v>9685.469237468556</v>
      </c>
      <c r="DO77" s="142"/>
      <c r="DP77" s="142">
        <v>445</v>
      </c>
      <c r="DQ77" s="142">
        <f t="shared" si="176"/>
        <v>388.48</v>
      </c>
      <c r="DR77" s="142">
        <f t="shared" si="177"/>
        <v>12.301875</v>
      </c>
      <c r="DS77" s="142">
        <f t="shared" si="178"/>
        <v>57.08714285714286</v>
      </c>
      <c r="DT77" s="142">
        <v>8</v>
      </c>
      <c r="DU77" s="142">
        <v>6</v>
      </c>
      <c r="DV77" s="142">
        <v>1</v>
      </c>
      <c r="DW77" s="142">
        <f t="shared" si="179"/>
        <v>38.034333263879944</v>
      </c>
      <c r="DX77" s="142">
        <f t="shared" si="180"/>
        <v>5117.221878639981</v>
      </c>
      <c r="DY77" s="142"/>
      <c r="DZ77" s="142">
        <v>587</v>
      </c>
      <c r="EA77" s="142">
        <f t="shared" si="181"/>
        <v>388.48</v>
      </c>
      <c r="EB77" s="142">
        <f t="shared" si="182"/>
        <v>11.88</v>
      </c>
      <c r="EC77" s="142">
        <f t="shared" si="183"/>
        <v>57.08714285714286</v>
      </c>
      <c r="ED77" s="142">
        <v>8</v>
      </c>
      <c r="EE77" s="142">
        <v>6</v>
      </c>
      <c r="EF77" s="142">
        <v>1</v>
      </c>
      <c r="EG77" s="142">
        <f t="shared" si="184"/>
        <v>36.82151763082392</v>
      </c>
      <c r="EH77" s="142">
        <f t="shared" si="185"/>
        <v>12347.095291431191</v>
      </c>
      <c r="EI77" s="142"/>
      <c r="EJ77" s="142">
        <v>450</v>
      </c>
      <c r="EK77" s="142">
        <f t="shared" si="193"/>
        <v>16.186666666666667</v>
      </c>
      <c r="EL77" s="142">
        <f t="shared" si="194"/>
        <v>11.88</v>
      </c>
      <c r="EM77" s="142">
        <f t="shared" si="195"/>
        <v>22.834857142857143</v>
      </c>
      <c r="EN77" s="142">
        <v>8</v>
      </c>
      <c r="EO77" s="142">
        <v>6</v>
      </c>
      <c r="EP77" s="142">
        <v>1</v>
      </c>
      <c r="EQ77" s="142">
        <f t="shared" si="186"/>
        <v>19.17403730438521</v>
      </c>
      <c r="ER77" s="142">
        <f t="shared" si="187"/>
        <v>10001.422181357058</v>
      </c>
      <c r="ES77" s="142"/>
      <c r="ET77" s="142">
        <v>0</v>
      </c>
      <c r="EU77" s="142">
        <v>0</v>
      </c>
      <c r="EV77" s="142">
        <v>6</v>
      </c>
      <c r="EW77" s="142">
        <v>39.8</v>
      </c>
      <c r="EX77" s="142">
        <v>0</v>
      </c>
      <c r="EY77" s="142">
        <v>0</v>
      </c>
      <c r="EZ77" s="142">
        <v>0</v>
      </c>
      <c r="FA77" s="142">
        <v>4.8</v>
      </c>
      <c r="FB77" s="142">
        <v>49.4</v>
      </c>
      <c r="FC77" s="142">
        <f t="shared" si="188"/>
        <v>10631.987353012657</v>
      </c>
      <c r="FE77" s="142">
        <v>611</v>
      </c>
      <c r="FF77" s="167">
        <f t="shared" si="196"/>
        <v>388.48</v>
      </c>
      <c r="FG77" s="167">
        <f t="shared" si="197"/>
        <v>11.88</v>
      </c>
      <c r="FH77" s="167">
        <f>AM77/2+E77/30</f>
        <v>77.3204761904762</v>
      </c>
      <c r="FI77" s="167">
        <v>8</v>
      </c>
      <c r="FJ77" s="167">
        <v>6</v>
      </c>
      <c r="FK77" s="142">
        <v>0.66</v>
      </c>
      <c r="FL77" s="142">
        <f t="shared" si="198"/>
        <v>37.44059901448604</v>
      </c>
      <c r="FM77" s="142">
        <f t="shared" si="190"/>
        <v>8385.171031085649</v>
      </c>
    </row>
    <row r="78" spans="1:169" s="167" customFormat="1" ht="17.25">
      <c r="A78" s="105">
        <v>72</v>
      </c>
      <c r="B78" s="72" t="s">
        <v>615</v>
      </c>
      <c r="C78" s="75">
        <v>1</v>
      </c>
      <c r="D78" s="72">
        <v>2</v>
      </c>
      <c r="E78" s="75">
        <v>675</v>
      </c>
      <c r="F78" s="75">
        <v>3600</v>
      </c>
      <c r="G78" s="75">
        <v>1350</v>
      </c>
      <c r="H78" s="72">
        <v>256</v>
      </c>
      <c r="I78" s="72">
        <f>M78/6</f>
        <v>56</v>
      </c>
      <c r="J78" s="72">
        <f>I78*4</f>
        <v>224</v>
      </c>
      <c r="K78" s="72">
        <v>32</v>
      </c>
      <c r="L78" s="125">
        <v>5</v>
      </c>
      <c r="M78" s="72">
        <v>336</v>
      </c>
      <c r="N78" s="125">
        <v>5</v>
      </c>
      <c r="O78" s="72" t="s">
        <v>21</v>
      </c>
      <c r="P78" s="77">
        <f t="shared" si="135"/>
        <v>545.4009904119167</v>
      </c>
      <c r="Q78" s="168"/>
      <c r="R78" s="78">
        <f t="shared" si="191"/>
        <v>8895.327720768108</v>
      </c>
      <c r="S78" s="79">
        <v>1024</v>
      </c>
      <c r="T78" s="90">
        <v>15</v>
      </c>
      <c r="U78" s="90">
        <v>160</v>
      </c>
      <c r="V78" s="72" t="s">
        <v>37</v>
      </c>
      <c r="W78" s="72" t="s">
        <v>38</v>
      </c>
      <c r="X78" s="16" t="s">
        <v>610</v>
      </c>
      <c r="Y78" s="72" t="s">
        <v>40</v>
      </c>
      <c r="Z78" s="81">
        <v>8.25</v>
      </c>
      <c r="AA78" s="123" t="s">
        <v>559</v>
      </c>
      <c r="AB78" s="72">
        <v>11</v>
      </c>
      <c r="AC78" s="82">
        <v>5</v>
      </c>
      <c r="AD78" s="83">
        <v>367</v>
      </c>
      <c r="AE78" s="84">
        <v>1950</v>
      </c>
      <c r="AF78" s="85">
        <v>40</v>
      </c>
      <c r="AG78" s="72"/>
      <c r="AH78" s="142"/>
      <c r="AI78" s="142">
        <f t="shared" si="136"/>
        <v>37.8</v>
      </c>
      <c r="AJ78" s="142">
        <f t="shared" si="137"/>
        <v>151.2</v>
      </c>
      <c r="AK78" s="142">
        <f t="shared" si="138"/>
        <v>21.6</v>
      </c>
      <c r="AL78" s="142">
        <f t="shared" si="139"/>
        <v>151.2</v>
      </c>
      <c r="AM78" s="142">
        <f t="shared" si="189"/>
        <v>109.71428571428571</v>
      </c>
      <c r="AN78" s="142">
        <f t="shared" si="140"/>
        <v>1</v>
      </c>
      <c r="AO78" s="142">
        <v>2</v>
      </c>
      <c r="AP78" s="142">
        <v>1</v>
      </c>
      <c r="AQ78" s="142">
        <v>1</v>
      </c>
      <c r="AR78" s="142">
        <v>5</v>
      </c>
      <c r="AS78" s="142">
        <v>5</v>
      </c>
      <c r="AT78" s="142">
        <v>1</v>
      </c>
      <c r="AU78" s="142">
        <v>0.6</v>
      </c>
      <c r="AV78" s="142">
        <v>1</v>
      </c>
      <c r="AW78" s="142">
        <f t="shared" si="141"/>
        <v>75.59999999999998</v>
      </c>
      <c r="AX78" s="142">
        <f t="shared" si="142"/>
        <v>53.36470588235294</v>
      </c>
      <c r="AY78" s="142">
        <f t="shared" si="143"/>
        <v>115.8127659574468</v>
      </c>
      <c r="AZ78" s="142">
        <f t="shared" si="144"/>
        <v>113.44800859738821</v>
      </c>
      <c r="BA78" s="142">
        <f t="shared" si="145"/>
        <v>74.87568567427623</v>
      </c>
      <c r="BB78" s="142">
        <v>0.02</v>
      </c>
      <c r="BC78" s="142">
        <f t="shared" si="146"/>
        <v>112.67656213892596</v>
      </c>
      <c r="BD78" s="73">
        <v>4.840412061378459</v>
      </c>
      <c r="BE78" s="87">
        <v>5.7504095289176105</v>
      </c>
      <c r="BF78" s="142"/>
      <c r="BG78" s="142"/>
      <c r="BH78" s="142">
        <v>548</v>
      </c>
      <c r="BI78" s="142">
        <f t="shared" si="147"/>
        <v>432</v>
      </c>
      <c r="BJ78" s="142">
        <f t="shared" si="148"/>
        <v>12.6</v>
      </c>
      <c r="BK78" s="142">
        <f t="shared" si="149"/>
        <v>54.857142857142854</v>
      </c>
      <c r="BL78" s="142">
        <v>8</v>
      </c>
      <c r="BM78" s="142">
        <v>6</v>
      </c>
      <c r="BN78" s="142">
        <v>1</v>
      </c>
      <c r="BO78" s="142">
        <f t="shared" si="150"/>
        <v>38.99105487952293</v>
      </c>
      <c r="BP78" s="142">
        <f t="shared" si="151"/>
        <v>9931.064091270388</v>
      </c>
      <c r="BQ78" s="142"/>
      <c r="BR78" s="142">
        <v>375</v>
      </c>
      <c r="BS78" s="142">
        <f t="shared" si="152"/>
        <v>432</v>
      </c>
      <c r="BT78" s="142">
        <f t="shared" si="153"/>
        <v>12.6</v>
      </c>
      <c r="BU78" s="142">
        <f t="shared" si="154"/>
        <v>54.857142857142854</v>
      </c>
      <c r="BV78" s="142">
        <v>8</v>
      </c>
      <c r="BW78" s="142">
        <v>6</v>
      </c>
      <c r="BX78" s="142">
        <v>1</v>
      </c>
      <c r="BY78" s="142">
        <f t="shared" si="155"/>
        <v>38.99105487952293</v>
      </c>
      <c r="BZ78" s="142">
        <f t="shared" si="156"/>
        <v>10900.6735312017</v>
      </c>
      <c r="CA78" s="142"/>
      <c r="CB78" s="142">
        <v>783</v>
      </c>
      <c r="CC78" s="142">
        <f t="shared" si="157"/>
        <v>432</v>
      </c>
      <c r="CD78" s="142">
        <f t="shared" si="158"/>
        <v>12.6</v>
      </c>
      <c r="CE78" s="142">
        <f t="shared" si="159"/>
        <v>54.857142857142854</v>
      </c>
      <c r="CF78" s="142">
        <v>8</v>
      </c>
      <c r="CG78" s="142">
        <v>6</v>
      </c>
      <c r="CH78" s="142">
        <v>4</v>
      </c>
      <c r="CI78" s="142">
        <f t="shared" si="160"/>
        <v>35.23448878531896</v>
      </c>
      <c r="CJ78" s="142">
        <f t="shared" si="161"/>
        <v>12630.996889435719</v>
      </c>
      <c r="CK78" s="142"/>
      <c r="CL78" s="142">
        <v>353</v>
      </c>
      <c r="CM78" s="142">
        <f t="shared" si="162"/>
        <v>432</v>
      </c>
      <c r="CN78" s="142">
        <f t="shared" si="163"/>
        <v>12.6</v>
      </c>
      <c r="CO78" s="142">
        <f t="shared" si="164"/>
        <v>54.857142857142854</v>
      </c>
      <c r="CP78" s="142">
        <v>8</v>
      </c>
      <c r="CQ78" s="142">
        <v>6</v>
      </c>
      <c r="CR78" s="142">
        <v>1</v>
      </c>
      <c r="CS78" s="142">
        <f t="shared" si="165"/>
        <v>38.99105487952293</v>
      </c>
      <c r="CT78" s="142">
        <f t="shared" si="166"/>
        <v>12291.906553871897</v>
      </c>
      <c r="CU78" s="142"/>
      <c r="CV78" s="142">
        <v>472</v>
      </c>
      <c r="CW78" s="142">
        <f t="shared" si="167"/>
        <v>432</v>
      </c>
      <c r="CX78" s="142">
        <f t="shared" si="168"/>
        <v>12.6</v>
      </c>
      <c r="CY78" s="142">
        <f t="shared" si="192"/>
        <v>54.857142857142854</v>
      </c>
      <c r="CZ78" s="142">
        <v>8</v>
      </c>
      <c r="DA78" s="142">
        <v>6</v>
      </c>
      <c r="DB78" s="142">
        <v>1</v>
      </c>
      <c r="DC78" s="142">
        <f t="shared" si="169"/>
        <v>38.99105487952293</v>
      </c>
      <c r="DD78" s="142">
        <f t="shared" si="170"/>
        <v>10325.620022311676</v>
      </c>
      <c r="DE78" s="142"/>
      <c r="DF78" s="142">
        <v>1888</v>
      </c>
      <c r="DG78" s="142">
        <f t="shared" si="171"/>
        <v>432</v>
      </c>
      <c r="DH78" s="142">
        <f t="shared" si="172"/>
        <v>12.6</v>
      </c>
      <c r="DI78" s="142">
        <f t="shared" si="173"/>
        <v>54.857142857142854</v>
      </c>
      <c r="DJ78" s="142">
        <v>8</v>
      </c>
      <c r="DK78" s="142">
        <v>6</v>
      </c>
      <c r="DL78" s="142">
        <v>1</v>
      </c>
      <c r="DM78" s="142">
        <f t="shared" si="174"/>
        <v>38.99105487952293</v>
      </c>
      <c r="DN78" s="142">
        <f t="shared" si="175"/>
        <v>10209.27500797577</v>
      </c>
      <c r="DO78" s="142"/>
      <c r="DP78" s="142">
        <v>445</v>
      </c>
      <c r="DQ78" s="142">
        <f t="shared" si="176"/>
        <v>432</v>
      </c>
      <c r="DR78" s="142">
        <f t="shared" si="177"/>
        <v>15.1875</v>
      </c>
      <c r="DS78" s="142">
        <f t="shared" si="178"/>
        <v>54.857142857142854</v>
      </c>
      <c r="DT78" s="142">
        <v>8</v>
      </c>
      <c r="DU78" s="142">
        <v>6</v>
      </c>
      <c r="DV78" s="142">
        <v>1</v>
      </c>
      <c r="DW78" s="142">
        <f t="shared" si="179"/>
        <v>46.31672995309359</v>
      </c>
      <c r="DX78" s="142">
        <f t="shared" si="180"/>
        <v>6134.107231898177</v>
      </c>
      <c r="DY78" s="142"/>
      <c r="DZ78" s="142">
        <v>587</v>
      </c>
      <c r="EA78" s="142">
        <f t="shared" si="181"/>
        <v>432</v>
      </c>
      <c r="EB78" s="142">
        <f t="shared" si="182"/>
        <v>12.6</v>
      </c>
      <c r="EC78" s="142">
        <f t="shared" si="183"/>
        <v>54.857142857142854</v>
      </c>
      <c r="ED78" s="142">
        <v>8</v>
      </c>
      <c r="EE78" s="142">
        <v>6</v>
      </c>
      <c r="EF78" s="142">
        <v>1</v>
      </c>
      <c r="EG78" s="142">
        <f t="shared" si="184"/>
        <v>38.99105487952293</v>
      </c>
      <c r="EH78" s="142">
        <f t="shared" si="185"/>
        <v>13112.070193865715</v>
      </c>
      <c r="EI78" s="142"/>
      <c r="EJ78" s="142">
        <v>450</v>
      </c>
      <c r="EK78" s="142">
        <f t="shared" si="193"/>
        <v>18</v>
      </c>
      <c r="EL78" s="142">
        <f t="shared" si="194"/>
        <v>12.6</v>
      </c>
      <c r="EM78" s="142">
        <f t="shared" si="195"/>
        <v>21.942857142857143</v>
      </c>
      <c r="EN78" s="142">
        <v>8</v>
      </c>
      <c r="EO78" s="142">
        <v>6</v>
      </c>
      <c r="EP78" s="142">
        <v>1</v>
      </c>
      <c r="EQ78" s="142">
        <f t="shared" si="186"/>
        <v>20.699480202785086</v>
      </c>
      <c r="ER78" s="142">
        <f t="shared" si="187"/>
        <v>10838.518557238556</v>
      </c>
      <c r="ES78" s="142"/>
      <c r="ET78" s="142">
        <v>0</v>
      </c>
      <c r="EU78" s="142">
        <v>0</v>
      </c>
      <c r="EV78" s="142">
        <v>6</v>
      </c>
      <c r="EW78" s="142">
        <v>39.8</v>
      </c>
      <c r="EX78" s="142">
        <v>0</v>
      </c>
      <c r="EY78" s="142">
        <v>0</v>
      </c>
      <c r="EZ78" s="142">
        <v>0</v>
      </c>
      <c r="FA78" s="142">
        <v>4.8</v>
      </c>
      <c r="FB78" s="142">
        <v>49.4</v>
      </c>
      <c r="FC78" s="142">
        <f t="shared" si="188"/>
        <v>11374.525222802755</v>
      </c>
      <c r="FE78" s="142">
        <v>611</v>
      </c>
      <c r="FF78" s="167">
        <f t="shared" si="196"/>
        <v>432</v>
      </c>
      <c r="FG78" s="167">
        <f t="shared" si="197"/>
        <v>12.6</v>
      </c>
      <c r="FH78" s="167">
        <f aca="true" t="shared" si="199" ref="FH78:FH120">AM78/2</f>
        <v>54.857142857142854</v>
      </c>
      <c r="FI78" s="167">
        <v>8</v>
      </c>
      <c r="FJ78" s="167">
        <v>6</v>
      </c>
      <c r="FK78" s="142">
        <v>0.66</v>
      </c>
      <c r="FL78" s="142">
        <f t="shared" si="198"/>
        <v>39.46795268152696</v>
      </c>
      <c r="FM78" s="142">
        <f t="shared" si="190"/>
        <v>8895.327720768108</v>
      </c>
    </row>
    <row r="79" spans="1:169" s="167" customFormat="1" ht="17.25">
      <c r="A79" s="105">
        <v>73</v>
      </c>
      <c r="B79" s="72" t="s">
        <v>616</v>
      </c>
      <c r="C79" s="75">
        <v>1</v>
      </c>
      <c r="D79" s="72">
        <v>2</v>
      </c>
      <c r="E79" s="75">
        <v>675</v>
      </c>
      <c r="F79" s="75">
        <v>3600</v>
      </c>
      <c r="G79" s="75">
        <v>1350</v>
      </c>
      <c r="H79" s="72">
        <v>192</v>
      </c>
      <c r="I79" s="72">
        <f>M79/6</f>
        <v>56</v>
      </c>
      <c r="J79" s="72">
        <f>I79*4</f>
        <v>224</v>
      </c>
      <c r="K79" s="72">
        <v>24</v>
      </c>
      <c r="L79" s="125">
        <v>5</v>
      </c>
      <c r="M79" s="72">
        <v>336</v>
      </c>
      <c r="N79" s="125">
        <v>5</v>
      </c>
      <c r="O79" s="72" t="s">
        <v>21</v>
      </c>
      <c r="P79" s="77">
        <f>BC79*BD79</f>
        <v>470.3156909961452</v>
      </c>
      <c r="Q79" s="78"/>
      <c r="R79" s="78">
        <f>C79*FM79</f>
        <v>8699.297180263906</v>
      </c>
      <c r="S79" s="79">
        <v>768</v>
      </c>
      <c r="T79" s="90">
        <v>15</v>
      </c>
      <c r="U79" s="90">
        <v>145</v>
      </c>
      <c r="V79" s="72" t="s">
        <v>37</v>
      </c>
      <c r="W79" s="72" t="s">
        <v>38</v>
      </c>
      <c r="X79" s="16" t="s">
        <v>610</v>
      </c>
      <c r="Y79" s="72" t="s">
        <v>40</v>
      </c>
      <c r="Z79" s="81">
        <v>8.25</v>
      </c>
      <c r="AA79" s="123" t="s">
        <v>559</v>
      </c>
      <c r="AB79" s="72">
        <v>11</v>
      </c>
      <c r="AC79" s="82">
        <v>5</v>
      </c>
      <c r="AD79" s="83">
        <v>367</v>
      </c>
      <c r="AE79" s="84">
        <v>1950</v>
      </c>
      <c r="AF79" s="85">
        <v>40</v>
      </c>
      <c r="AG79" s="72"/>
      <c r="AH79" s="142"/>
      <c r="AI79" s="142">
        <f>I79*E79/1000</f>
        <v>37.8</v>
      </c>
      <c r="AJ79" s="142">
        <f>J79*E79/1000</f>
        <v>151.2</v>
      </c>
      <c r="AK79" s="142">
        <f>K79*E79/1000</f>
        <v>16.2</v>
      </c>
      <c r="AL79" s="142">
        <f>M79*G79/3000</f>
        <v>151.2</v>
      </c>
      <c r="AM79" s="142">
        <f>H79*F79/(7400+AC79*200)</f>
        <v>82.28571428571429</v>
      </c>
      <c r="AN79" s="142">
        <f t="shared" si="140"/>
        <v>1</v>
      </c>
      <c r="AO79" s="142">
        <v>2</v>
      </c>
      <c r="AP79" s="142">
        <v>1</v>
      </c>
      <c r="AQ79" s="142">
        <v>1</v>
      </c>
      <c r="AR79" s="142">
        <v>5</v>
      </c>
      <c r="AS79" s="142">
        <v>5</v>
      </c>
      <c r="AT79" s="142">
        <v>1</v>
      </c>
      <c r="AU79" s="142">
        <v>0.6</v>
      </c>
      <c r="AV79" s="142">
        <v>1</v>
      </c>
      <c r="AW79" s="142">
        <f>AI79*AJ79*(AO79+AP79)/(AI79*AO79+AJ79*AP79)</f>
        <v>75.59999999999998</v>
      </c>
      <c r="AX79" s="142">
        <f>(AQ79+AR79)*AW79*AK79/(AW79*AQ79+AK79*AR79)</f>
        <v>46.92413793103448</v>
      </c>
      <c r="AY79" s="142">
        <f>AX79*AL79*(AS79+AT79)/(AX79*AS79+AL79*AT79)</f>
        <v>110.33513513513515</v>
      </c>
      <c r="AZ79" s="142">
        <f>AY79*AM79*(AU79+AV79)/(AY79*AU79+AV79*AM79)*AN79</f>
        <v>97.82963268057065</v>
      </c>
      <c r="BA79" s="142">
        <f t="shared" si="145"/>
        <v>64.56755756917663</v>
      </c>
      <c r="BB79" s="142">
        <v>0.02</v>
      </c>
      <c r="BC79" s="142">
        <f>AZ79*(1-BB79)+BA79*BB79</f>
        <v>97.16439117834278</v>
      </c>
      <c r="BD79" s="73">
        <v>4.840412061378459</v>
      </c>
      <c r="BE79" s="87">
        <v>5.7504095289176105</v>
      </c>
      <c r="BF79" s="142"/>
      <c r="BG79" s="142"/>
      <c r="BH79" s="142">
        <v>548</v>
      </c>
      <c r="BI79" s="142">
        <f>E79*K79/50</f>
        <v>324</v>
      </c>
      <c r="BJ79" s="142">
        <f>G79*M79/36000</f>
        <v>12.6</v>
      </c>
      <c r="BK79" s="142">
        <f>AM79/2</f>
        <v>41.142857142857146</v>
      </c>
      <c r="BL79" s="142">
        <v>8</v>
      </c>
      <c r="BM79" s="142">
        <v>6</v>
      </c>
      <c r="BN79" s="142">
        <v>1</v>
      </c>
      <c r="BO79" s="142">
        <f>20/(BL79/BI79+BM79/BJ79+BN79/BK79)</f>
        <v>38.081645503200754</v>
      </c>
      <c r="BP79" s="142">
        <f t="shared" si="151"/>
        <v>9681.141400095696</v>
      </c>
      <c r="BQ79" s="142"/>
      <c r="BR79" s="142">
        <v>375</v>
      </c>
      <c r="BS79" s="142">
        <f>E79*K79/50</f>
        <v>324</v>
      </c>
      <c r="BT79" s="142">
        <f>G79*M79/36000</f>
        <v>12.6</v>
      </c>
      <c r="BU79" s="142">
        <f>AM79/2</f>
        <v>41.142857142857146</v>
      </c>
      <c r="BV79" s="142">
        <v>8</v>
      </c>
      <c r="BW79" s="142">
        <v>6</v>
      </c>
      <c r="BX79" s="142">
        <v>1</v>
      </c>
      <c r="BY79" s="142">
        <f>20/(BV79/BS79+BW79/BT79+BX79/BU79)</f>
        <v>38.081645503200754</v>
      </c>
      <c r="BZ79" s="142">
        <f t="shared" si="156"/>
        <v>10648.944087477343</v>
      </c>
      <c r="CA79" s="142"/>
      <c r="CB79" s="142">
        <v>783</v>
      </c>
      <c r="CC79" s="142">
        <f>E79*K79/50</f>
        <v>324</v>
      </c>
      <c r="CD79" s="142">
        <f>G79*M79/36000</f>
        <v>12.6</v>
      </c>
      <c r="CE79" s="142">
        <f>AM79/2</f>
        <v>41.142857142857146</v>
      </c>
      <c r="CF79" s="142">
        <v>8</v>
      </c>
      <c r="CG79" s="142">
        <v>6</v>
      </c>
      <c r="CH79" s="142">
        <v>4</v>
      </c>
      <c r="CI79" s="142">
        <f>20/(CF79/CC79+CG79/CD79+CH79/CE79)</f>
        <v>33.43899741983045</v>
      </c>
      <c r="CJ79" s="142">
        <f t="shared" si="161"/>
        <v>11956.034646985745</v>
      </c>
      <c r="CK79" s="142"/>
      <c r="CL79" s="142">
        <v>353</v>
      </c>
      <c r="CM79" s="142">
        <f>E79*K79/50</f>
        <v>324</v>
      </c>
      <c r="CN79" s="142">
        <f>G79*M79/36000</f>
        <v>12.6</v>
      </c>
      <c r="CO79" s="142">
        <f>AM79/2</f>
        <v>41.142857142857146</v>
      </c>
      <c r="CP79" s="142">
        <v>8</v>
      </c>
      <c r="CQ79" s="142">
        <v>6</v>
      </c>
      <c r="CR79" s="142">
        <v>1</v>
      </c>
      <c r="CS79" s="142">
        <f>20/(CP79/CM79+CQ79/CN79+CR79/CO79)</f>
        <v>38.081645503200754</v>
      </c>
      <c r="CT79" s="142">
        <f t="shared" si="166"/>
        <v>12016.553992216412</v>
      </c>
      <c r="CU79" s="142"/>
      <c r="CV79" s="142">
        <v>472</v>
      </c>
      <c r="CW79" s="142">
        <f>E79*K79/50</f>
        <v>324</v>
      </c>
      <c r="CX79" s="142">
        <f>G79*M79/36000</f>
        <v>12.6</v>
      </c>
      <c r="CY79" s="142">
        <f>AM79/2</f>
        <v>41.142857142857146</v>
      </c>
      <c r="CZ79" s="142">
        <v>8</v>
      </c>
      <c r="DA79" s="142">
        <v>6</v>
      </c>
      <c r="DB79" s="142">
        <v>1</v>
      </c>
      <c r="DC79" s="142">
        <f>20/(CZ79/CW79+DA79/CX79+DB79/CY79)</f>
        <v>38.081645503200754</v>
      </c>
      <c r="DD79" s="142">
        <f t="shared" si="170"/>
        <v>10103.847961403033</v>
      </c>
      <c r="DE79" s="142"/>
      <c r="DF79" s="142">
        <v>1888</v>
      </c>
      <c r="DG79" s="142">
        <f>E79*K79/50</f>
        <v>324</v>
      </c>
      <c r="DH79" s="142">
        <f>G79*M79/36000</f>
        <v>12.6</v>
      </c>
      <c r="DI79" s="142">
        <f>AM79/2</f>
        <v>41.142857142857146</v>
      </c>
      <c r="DJ79" s="142">
        <v>8</v>
      </c>
      <c r="DK79" s="142">
        <v>6</v>
      </c>
      <c r="DL79" s="142">
        <v>1</v>
      </c>
      <c r="DM79" s="142">
        <f>20/(DJ79/DG79+DK79/DH79+DL79/DI79)</f>
        <v>38.081645503200754</v>
      </c>
      <c r="DN79" s="142">
        <f t="shared" si="175"/>
        <v>9990.00178719004</v>
      </c>
      <c r="DO79" s="142"/>
      <c r="DP79" s="142">
        <v>445</v>
      </c>
      <c r="DQ79" s="142">
        <f>E79*K79/50</f>
        <v>324</v>
      </c>
      <c r="DR79" s="142">
        <f>POWER(G79,2)*POWER(M79,0)/120000</f>
        <v>15.1875</v>
      </c>
      <c r="DS79" s="142">
        <f>AM79/2</f>
        <v>41.142857142857146</v>
      </c>
      <c r="DT79" s="142">
        <v>8</v>
      </c>
      <c r="DU79" s="142">
        <v>6</v>
      </c>
      <c r="DV79" s="142">
        <v>1</v>
      </c>
      <c r="DW79" s="142">
        <f>20/(DT79/DQ79+DU79/DR79+DV79/DS79)</f>
        <v>45.039096437880104</v>
      </c>
      <c r="DX79" s="142">
        <f t="shared" si="180"/>
        <v>5978.262778128469</v>
      </c>
      <c r="DY79" s="142"/>
      <c r="DZ79" s="142">
        <v>587</v>
      </c>
      <c r="EA79" s="142">
        <f>E79*K79/50</f>
        <v>324</v>
      </c>
      <c r="EB79" s="142">
        <f>G79*M79/36000</f>
        <v>12.6</v>
      </c>
      <c r="EC79" s="142">
        <f>AM79/2</f>
        <v>41.142857142857146</v>
      </c>
      <c r="ED79" s="142">
        <v>8</v>
      </c>
      <c r="EE79" s="142">
        <v>6</v>
      </c>
      <c r="EF79" s="142">
        <v>1</v>
      </c>
      <c r="EG79" s="142">
        <f>20/(ED79/EA79+EE79/EB79+EF79/EC79)</f>
        <v>38.081645503200754</v>
      </c>
      <c r="EH79" s="142">
        <f t="shared" si="185"/>
        <v>12791.14795869915</v>
      </c>
      <c r="EI79" s="142"/>
      <c r="EJ79" s="142">
        <v>450</v>
      </c>
      <c r="EK79" s="142">
        <f>E79*K79/1200</f>
        <v>13.5</v>
      </c>
      <c r="EL79" s="142">
        <f>G79*M79/36000</f>
        <v>12.6</v>
      </c>
      <c r="EM79" s="142">
        <f>AM79/5</f>
        <v>16.45714285714286</v>
      </c>
      <c r="EN79" s="142">
        <v>8</v>
      </c>
      <c r="EO79" s="142">
        <v>6</v>
      </c>
      <c r="EP79" s="142">
        <v>1</v>
      </c>
      <c r="EQ79" s="142">
        <f>20/(EN79/EK79+EO79/EL79+EP79/EM79)</f>
        <v>17.706213862255726</v>
      </c>
      <c r="ER79" s="142">
        <f t="shared" si="187"/>
        <v>9199.08230477574</v>
      </c>
      <c r="ES79" s="142"/>
      <c r="ET79" s="142">
        <v>0</v>
      </c>
      <c r="EU79" s="142">
        <v>0</v>
      </c>
      <c r="EV79" s="142">
        <v>6</v>
      </c>
      <c r="EW79" s="142">
        <v>39.8</v>
      </c>
      <c r="EX79" s="142">
        <v>0</v>
      </c>
      <c r="EY79" s="142">
        <v>0</v>
      </c>
      <c r="EZ79" s="142">
        <v>0</v>
      </c>
      <c r="FA79" s="142">
        <v>4.8</v>
      </c>
      <c r="FB79" s="142">
        <v>49.4</v>
      </c>
      <c r="FC79" s="142">
        <f>(BH79*ET79/100+BR79*EU79/100+CB79*EV79/100+CL79*EW79/100+CV79*EX79/100+DF79*EY79/100+DP79*EZ79/100+DZ79*FA79/100+EJ79*FB79/100)/(BH79/BP79*ET79/100+BR79/BZ79*EU79/100+CB79/CJ79*EV79/100+CL79/CT79*EW79/100+CV79/DD79*EX79/100+DF79/DN79*EY79/100+DP79/DX79*EZ79/100+DZ79/EH79*FA79/100+EJ79/ER79*FB79/100+0.000694444444444)</f>
        <v>10260.339485661594</v>
      </c>
      <c r="FE79" s="142">
        <v>611</v>
      </c>
      <c r="FF79" s="167">
        <f>E79*K79/50</f>
        <v>324</v>
      </c>
      <c r="FG79" s="167">
        <f>G79*M79/36000</f>
        <v>12.6</v>
      </c>
      <c r="FH79" s="167">
        <f>AM79/2</f>
        <v>41.142857142857146</v>
      </c>
      <c r="FI79" s="167">
        <v>8</v>
      </c>
      <c r="FJ79" s="167">
        <v>6</v>
      </c>
      <c r="FK79" s="142">
        <v>0.66</v>
      </c>
      <c r="FL79" s="142">
        <f>20/(FI79/FF79+FJ79/FG79+FK79/FH79)</f>
        <v>38.69044445818665</v>
      </c>
      <c r="FM79" s="142">
        <f t="shared" si="190"/>
        <v>8699.297180263906</v>
      </c>
    </row>
    <row r="80" spans="1:169" s="196" customFormat="1" ht="17.25" hidden="1">
      <c r="A80" s="182">
        <v>73.5</v>
      </c>
      <c r="B80" s="178" t="s">
        <v>625</v>
      </c>
      <c r="C80" s="178">
        <v>1</v>
      </c>
      <c r="D80" s="178">
        <v>2</v>
      </c>
      <c r="E80" s="178">
        <v>789</v>
      </c>
      <c r="F80" s="178">
        <v>3760</v>
      </c>
      <c r="G80" s="178">
        <v>1578</v>
      </c>
      <c r="H80" s="178">
        <v>128</v>
      </c>
      <c r="I80" s="178">
        <v>32</v>
      </c>
      <c r="J80" s="178">
        <f>I80*4</f>
        <v>128</v>
      </c>
      <c r="K80" s="178">
        <v>16</v>
      </c>
      <c r="L80" s="194">
        <v>5</v>
      </c>
      <c r="M80" s="178">
        <v>192</v>
      </c>
      <c r="N80" s="194">
        <v>5</v>
      </c>
      <c r="O80" s="178" t="s">
        <v>21</v>
      </c>
      <c r="P80" s="184">
        <f>BC80*BD80</f>
        <v>324.9071786742572</v>
      </c>
      <c r="Q80" s="184"/>
      <c r="R80" s="184">
        <f>C80*FM80</f>
        <v>5586.470197601257</v>
      </c>
      <c r="S80" s="185">
        <v>1024</v>
      </c>
      <c r="T80" s="195" t="s">
        <v>531</v>
      </c>
      <c r="U80" s="195" t="s">
        <v>531</v>
      </c>
      <c r="V80" s="178" t="s">
        <v>626</v>
      </c>
      <c r="W80" s="178" t="s">
        <v>627</v>
      </c>
      <c r="X80" s="187" t="s">
        <v>628</v>
      </c>
      <c r="Y80" s="178" t="s">
        <v>629</v>
      </c>
      <c r="Z80" s="188">
        <v>8.25</v>
      </c>
      <c r="AA80" s="189" t="s">
        <v>559</v>
      </c>
      <c r="AB80" s="178">
        <v>11</v>
      </c>
      <c r="AC80" s="190">
        <v>5</v>
      </c>
      <c r="AD80" s="191" t="s">
        <v>531</v>
      </c>
      <c r="AE80" s="192" t="s">
        <v>531</v>
      </c>
      <c r="AF80" s="193">
        <v>40</v>
      </c>
      <c r="AG80" s="178"/>
      <c r="AH80" s="182"/>
      <c r="AI80" s="182">
        <f>I80*E80/1000</f>
        <v>25.248</v>
      </c>
      <c r="AJ80" s="182">
        <f>J80*E80/1000</f>
        <v>100.992</v>
      </c>
      <c r="AK80" s="182">
        <f>K80*E80/1000</f>
        <v>12.624</v>
      </c>
      <c r="AL80" s="182">
        <f>M80*G80/3000</f>
        <v>100.992</v>
      </c>
      <c r="AM80" s="182">
        <f>H80*F80/(7400+AC80*200)</f>
        <v>57.2952380952381</v>
      </c>
      <c r="AN80" s="182">
        <f t="shared" si="140"/>
        <v>1</v>
      </c>
      <c r="AO80" s="182">
        <v>2</v>
      </c>
      <c r="AP80" s="182">
        <v>1</v>
      </c>
      <c r="AQ80" s="182">
        <v>1</v>
      </c>
      <c r="AR80" s="182">
        <v>5</v>
      </c>
      <c r="AS80" s="182">
        <v>5</v>
      </c>
      <c r="AT80" s="182">
        <v>1</v>
      </c>
      <c r="AU80" s="182">
        <v>0.6</v>
      </c>
      <c r="AV80" s="182">
        <v>1</v>
      </c>
      <c r="AW80" s="182">
        <f>AI80*AJ80*(AO80+AP80)/(AI80*AO80+AJ80*AP80)</f>
        <v>50.49600000000001</v>
      </c>
      <c r="AX80" s="182">
        <f>(AQ80+AR80)*AW80*AK80/(AW80*AQ80+AK80*AR80)</f>
        <v>33.66400000000001</v>
      </c>
      <c r="AY80" s="182">
        <f>AX80*AL80*(AS80+AT80)/(AX80*AS80+AL80*AT80)</f>
        <v>75.744</v>
      </c>
      <c r="AZ80" s="182">
        <f>AY80*AM80*(AU80+AV80)/(AY80*AU80+AV80*AM80)*AN80</f>
        <v>67.58343502777934</v>
      </c>
      <c r="BA80" s="182">
        <f t="shared" si="145"/>
        <v>44.60506711833437</v>
      </c>
      <c r="BB80" s="182">
        <v>0.02</v>
      </c>
      <c r="BC80" s="182">
        <f>AZ80*(1-BB80)+BA80*BB80</f>
        <v>67.12386766959044</v>
      </c>
      <c r="BD80" s="179">
        <v>4.840412061378459</v>
      </c>
      <c r="BE80" s="179">
        <v>5.7504095289176105</v>
      </c>
      <c r="BF80" s="182"/>
      <c r="BG80" s="182"/>
      <c r="BH80" s="182">
        <v>548</v>
      </c>
      <c r="BI80" s="182">
        <f>E80*K80/50</f>
        <v>252.48</v>
      </c>
      <c r="BJ80" s="182">
        <f>G80*M80/36000</f>
        <v>8.416</v>
      </c>
      <c r="BK80" s="182">
        <f>AM80/2</f>
        <v>28.64761904761905</v>
      </c>
      <c r="BL80" s="182">
        <v>8</v>
      </c>
      <c r="BM80" s="182">
        <v>6</v>
      </c>
      <c r="BN80" s="182">
        <v>1</v>
      </c>
      <c r="BO80" s="182">
        <f>20/(BL80/BI80+BM80/BJ80+BN80/BK80)</f>
        <v>25.65680294263113</v>
      </c>
      <c r="BP80" s="182">
        <f t="shared" si="151"/>
        <v>6319.640048818085</v>
      </c>
      <c r="BQ80" s="182"/>
      <c r="BR80" s="182">
        <v>375</v>
      </c>
      <c r="BS80" s="182">
        <f>E80*K80/50</f>
        <v>252.48</v>
      </c>
      <c r="BT80" s="182">
        <f>G80*M80/36000</f>
        <v>8.416</v>
      </c>
      <c r="BU80" s="182">
        <f>AM80/2</f>
        <v>28.64761904761905</v>
      </c>
      <c r="BV80" s="182">
        <v>8</v>
      </c>
      <c r="BW80" s="182">
        <v>6</v>
      </c>
      <c r="BX80" s="182">
        <v>1</v>
      </c>
      <c r="BY80" s="182">
        <f>20/(BV80/BS80+BW80/BT80+BX80/BU80)</f>
        <v>25.65680294263113</v>
      </c>
      <c r="BZ80" s="182">
        <f t="shared" si="156"/>
        <v>7202.918670621814</v>
      </c>
      <c r="CA80" s="182"/>
      <c r="CB80" s="182">
        <v>783</v>
      </c>
      <c r="CC80" s="182">
        <f>E80*K80/50</f>
        <v>252.48</v>
      </c>
      <c r="CD80" s="182">
        <f>G80*M80/36000</f>
        <v>8.416</v>
      </c>
      <c r="CE80" s="182">
        <f>AM80/2</f>
        <v>28.64761904761905</v>
      </c>
      <c r="CF80" s="182">
        <v>8</v>
      </c>
      <c r="CG80" s="182">
        <v>6</v>
      </c>
      <c r="CH80" s="182">
        <v>4</v>
      </c>
      <c r="CI80" s="182">
        <f>20/(CF80/CC80+CG80/CD80+CH80/CE80)</f>
        <v>22.618265684415178</v>
      </c>
      <c r="CJ80" s="182">
        <f t="shared" si="161"/>
        <v>7930.55389652107</v>
      </c>
      <c r="CK80" s="182"/>
      <c r="CL80" s="182">
        <v>353</v>
      </c>
      <c r="CM80" s="182">
        <f>E80*K80/50</f>
        <v>252.48</v>
      </c>
      <c r="CN80" s="182">
        <f>G80*M80/36000</f>
        <v>8.416</v>
      </c>
      <c r="CO80" s="182">
        <f>AM80/2</f>
        <v>28.64761904761905</v>
      </c>
      <c r="CP80" s="182">
        <v>8</v>
      </c>
      <c r="CQ80" s="182">
        <v>6</v>
      </c>
      <c r="CR80" s="182">
        <v>1</v>
      </c>
      <c r="CS80" s="182">
        <f>20/(CP80/CM80+CQ80/CN80+CR80/CO80)</f>
        <v>25.65680294263113</v>
      </c>
      <c r="CT80" s="182">
        <f t="shared" si="166"/>
        <v>8224.837031464951</v>
      </c>
      <c r="CU80" s="182"/>
      <c r="CV80" s="182">
        <v>472</v>
      </c>
      <c r="CW80" s="182">
        <f>E80*K80/50</f>
        <v>252.48</v>
      </c>
      <c r="CX80" s="182">
        <f>G80*M80/36000</f>
        <v>8.416</v>
      </c>
      <c r="CY80" s="182">
        <f>AM80/2</f>
        <v>28.64761904761905</v>
      </c>
      <c r="CZ80" s="182">
        <v>8</v>
      </c>
      <c r="DA80" s="182">
        <v>6</v>
      </c>
      <c r="DB80" s="182">
        <v>1</v>
      </c>
      <c r="DC80" s="182">
        <f>20/(CZ80/CW80+DA80/CX80+DB80/CY80)</f>
        <v>25.65680294263113</v>
      </c>
      <c r="DD80" s="182">
        <f t="shared" si="170"/>
        <v>7025.782298303511</v>
      </c>
      <c r="DE80" s="182"/>
      <c r="DF80" s="182">
        <v>1888</v>
      </c>
      <c r="DG80" s="182">
        <f>E80*K80/50</f>
        <v>252.48</v>
      </c>
      <c r="DH80" s="182">
        <f>G80*M80/36000</f>
        <v>8.416</v>
      </c>
      <c r="DI80" s="182">
        <f>AM80/2</f>
        <v>28.64761904761905</v>
      </c>
      <c r="DJ80" s="182">
        <v>8</v>
      </c>
      <c r="DK80" s="182">
        <v>6</v>
      </c>
      <c r="DL80" s="182">
        <v>1</v>
      </c>
      <c r="DM80" s="182">
        <f>20/(DJ80/DG80+DK80/DH80+DL80/DI80)</f>
        <v>25.65680294263113</v>
      </c>
      <c r="DN80" s="182">
        <f t="shared" si="175"/>
        <v>6946.618554097274</v>
      </c>
      <c r="DO80" s="182"/>
      <c r="DP80" s="182">
        <v>445</v>
      </c>
      <c r="DQ80" s="182">
        <f>E80*K80/50</f>
        <v>252.48</v>
      </c>
      <c r="DR80" s="182">
        <f>POWER(G80,2)*POWER(M80,0)/120000</f>
        <v>20.7507</v>
      </c>
      <c r="DS80" s="182">
        <f>AM80/2</f>
        <v>28.64761904761905</v>
      </c>
      <c r="DT80" s="182">
        <v>8</v>
      </c>
      <c r="DU80" s="182">
        <v>6</v>
      </c>
      <c r="DV80" s="182">
        <v>1</v>
      </c>
      <c r="DW80" s="182">
        <f>20/(DT80/DQ80+DU80/DR80+DV80/DS80)</f>
        <v>56.22091997357212</v>
      </c>
      <c r="DX80" s="182">
        <f t="shared" si="180"/>
        <v>7331.259921485659</v>
      </c>
      <c r="DY80" s="182"/>
      <c r="DZ80" s="182">
        <v>587</v>
      </c>
      <c r="EA80" s="182">
        <f>E80*K80/50</f>
        <v>252.48</v>
      </c>
      <c r="EB80" s="182">
        <f>G80*M80/36000</f>
        <v>8.416</v>
      </c>
      <c r="EC80" s="182">
        <f>AM80/2</f>
        <v>28.64761904761905</v>
      </c>
      <c r="ED80" s="182">
        <v>8</v>
      </c>
      <c r="EE80" s="182">
        <v>6</v>
      </c>
      <c r="EF80" s="182">
        <v>1</v>
      </c>
      <c r="EG80" s="182">
        <f>20/(ED80/EA80+EE80/EB80+EF80/EC80)</f>
        <v>25.65680294263113</v>
      </c>
      <c r="EH80" s="182">
        <f t="shared" si="185"/>
        <v>8449.29934764718</v>
      </c>
      <c r="EI80" s="182"/>
      <c r="EJ80" s="182">
        <v>450</v>
      </c>
      <c r="EK80" s="182">
        <f>E80*K80/1200</f>
        <v>10.52</v>
      </c>
      <c r="EL80" s="182">
        <f>G80*M80/36000</f>
        <v>8.416</v>
      </c>
      <c r="EM80" s="182">
        <f>AM80/5</f>
        <v>11.45904761904762</v>
      </c>
      <c r="EN80" s="182">
        <v>8</v>
      </c>
      <c r="EO80" s="182">
        <v>6</v>
      </c>
      <c r="EP80" s="182">
        <v>1</v>
      </c>
      <c r="EQ80" s="182">
        <f>20/(EN80/EK80+EO80/EL80+EP80/EM80)</f>
        <v>12.81516234522279</v>
      </c>
      <c r="ER80" s="182">
        <f t="shared" si="187"/>
        <v>6551.229770846216</v>
      </c>
      <c r="ES80" s="182"/>
      <c r="ET80" s="182">
        <v>0</v>
      </c>
      <c r="EU80" s="182">
        <v>0</v>
      </c>
      <c r="EV80" s="182">
        <v>6</v>
      </c>
      <c r="EW80" s="182">
        <v>39.8</v>
      </c>
      <c r="EX80" s="182">
        <v>0</v>
      </c>
      <c r="EY80" s="182">
        <v>0</v>
      </c>
      <c r="EZ80" s="182">
        <v>0</v>
      </c>
      <c r="FA80" s="182">
        <v>4.8</v>
      </c>
      <c r="FB80" s="182">
        <v>49.4</v>
      </c>
      <c r="FC80" s="182">
        <f>(BH80*ET80/100+BR80*EU80/100+CB80*EV80/100+CL80*EW80/100+CV80*EX80/100+DF80*EY80/100+DP80*EZ80/100+DZ80*FA80/100+EJ80*FB80/100)/(BH80/BP80*ET80/100+BR80/BZ80*EU80/100+CB80/CJ80*EV80/100+CL80/CT80*EW80/100+CV80/DD80*EX80/100+DF80/DN80*EY80/100+DP80/DX80*EZ80/100+DZ80/EH80*FA80/100+EJ80/ER80*FB80/100+0.000694444444444)</f>
        <v>7183.356679244222</v>
      </c>
      <c r="FE80" s="182">
        <v>611</v>
      </c>
      <c r="FF80" s="196">
        <f>E80*K80/50</f>
        <v>252.48</v>
      </c>
      <c r="FG80" s="196">
        <f>G80*M80/36000</f>
        <v>8.416</v>
      </c>
      <c r="FH80" s="196">
        <f>AM80/2</f>
        <v>28.64761904761905</v>
      </c>
      <c r="FI80" s="196">
        <v>8</v>
      </c>
      <c r="FJ80" s="196">
        <v>6</v>
      </c>
      <c r="FK80" s="182">
        <v>0.66</v>
      </c>
      <c r="FL80" s="182">
        <f>20/(FI80/FF80+FJ80/FG80+FK80/FH80)</f>
        <v>26.0534721951973</v>
      </c>
      <c r="FM80" s="182">
        <f t="shared" si="190"/>
        <v>5586.470197601257</v>
      </c>
    </row>
    <row r="81" spans="1:169" s="17" customFormat="1" ht="17.25">
      <c r="A81" s="152">
        <v>74</v>
      </c>
      <c r="B81" s="153" t="s">
        <v>76</v>
      </c>
      <c r="C81" s="154">
        <v>2</v>
      </c>
      <c r="D81" s="153">
        <v>4</v>
      </c>
      <c r="E81" s="154">
        <v>575</v>
      </c>
      <c r="F81" s="154">
        <v>2000</v>
      </c>
      <c r="G81" s="154">
        <v>1240</v>
      </c>
      <c r="H81" s="153">
        <v>448</v>
      </c>
      <c r="I81" s="153">
        <v>80</v>
      </c>
      <c r="J81" s="153">
        <v>80</v>
      </c>
      <c r="K81" s="153">
        <v>28</v>
      </c>
      <c r="L81" s="155" t="s">
        <v>30</v>
      </c>
      <c r="M81" s="153">
        <v>240</v>
      </c>
      <c r="N81" s="155" t="s">
        <v>30</v>
      </c>
      <c r="O81" s="153" t="s">
        <v>21</v>
      </c>
      <c r="P81" s="156">
        <f t="shared" si="135"/>
        <v>734.3724355423092</v>
      </c>
      <c r="Q81" s="157">
        <f aca="true" t="shared" si="200" ref="Q81:Q120">MIN(FC81,99900)*INT(C81)</f>
        <v>15840.098653090321</v>
      </c>
      <c r="R81" s="78">
        <f t="shared" si="191"/>
        <v>14313.443050350334</v>
      </c>
      <c r="S81" s="158">
        <v>896</v>
      </c>
      <c r="T81" s="159">
        <v>70</v>
      </c>
      <c r="U81" s="159">
        <v>320</v>
      </c>
      <c r="V81" s="153" t="s">
        <v>37</v>
      </c>
      <c r="W81" s="153" t="s">
        <v>29</v>
      </c>
      <c r="X81" s="160" t="s">
        <v>39</v>
      </c>
      <c r="Y81" s="153" t="s">
        <v>40</v>
      </c>
      <c r="Z81" s="161">
        <v>10.5</v>
      </c>
      <c r="AA81" s="162" t="s">
        <v>559</v>
      </c>
      <c r="AB81" s="153">
        <v>10</v>
      </c>
      <c r="AC81" s="163">
        <v>3</v>
      </c>
      <c r="AD81" s="164">
        <v>470</v>
      </c>
      <c r="AE81" s="165">
        <f aca="true" t="shared" si="201" ref="AE81:AE87">1400*C81</f>
        <v>2800</v>
      </c>
      <c r="AF81" s="166">
        <v>55</v>
      </c>
      <c r="AG81" s="153"/>
      <c r="AH81" s="73"/>
      <c r="AI81" s="73">
        <f t="shared" si="136"/>
        <v>46</v>
      </c>
      <c r="AJ81" s="73">
        <f t="shared" si="137"/>
        <v>46</v>
      </c>
      <c r="AK81" s="73">
        <f t="shared" si="138"/>
        <v>16.1</v>
      </c>
      <c r="AL81" s="73">
        <f t="shared" si="139"/>
        <v>99.2</v>
      </c>
      <c r="AM81" s="92">
        <f t="shared" si="189"/>
        <v>112</v>
      </c>
      <c r="AN81" s="92">
        <f>POWER(INT(MIN(C81,D81)/2)*2,0.4)+LN(INT(MIN(C81,D81)/2)*2)*0.5</f>
        <v>1.666081501052867</v>
      </c>
      <c r="AO81" s="73">
        <v>2</v>
      </c>
      <c r="AP81" s="73">
        <v>1</v>
      </c>
      <c r="AQ81" s="73">
        <v>1</v>
      </c>
      <c r="AR81" s="73">
        <v>5</v>
      </c>
      <c r="AS81" s="87">
        <v>5</v>
      </c>
      <c r="AT81" s="73">
        <v>1</v>
      </c>
      <c r="AU81" s="73">
        <v>1.3</v>
      </c>
      <c r="AV81" s="73">
        <v>1</v>
      </c>
      <c r="AW81" s="73">
        <f t="shared" si="141"/>
        <v>46</v>
      </c>
      <c r="AX81" s="73">
        <f t="shared" si="142"/>
        <v>35.12727272727273</v>
      </c>
      <c r="AY81" s="73">
        <f t="shared" si="143"/>
        <v>76.07345858692776</v>
      </c>
      <c r="AZ81" s="73">
        <f t="shared" si="144"/>
        <v>154.81318916699695</v>
      </c>
      <c r="BA81" s="73"/>
      <c r="BB81" s="73">
        <v>0.02</v>
      </c>
      <c r="BC81" s="73">
        <f t="shared" si="146"/>
        <v>151.716925383657</v>
      </c>
      <c r="BD81" s="73">
        <v>4.840412061378459</v>
      </c>
      <c r="BE81" s="87">
        <v>5.7504095289176105</v>
      </c>
      <c r="BF81" s="74"/>
      <c r="BG81" s="73"/>
      <c r="BH81" s="92">
        <v>548</v>
      </c>
      <c r="BI81" s="92">
        <f t="shared" si="147"/>
        <v>322</v>
      </c>
      <c r="BJ81" s="92">
        <f t="shared" si="148"/>
        <v>8.266666666666667</v>
      </c>
      <c r="BK81" s="87">
        <f t="shared" si="149"/>
        <v>56</v>
      </c>
      <c r="BL81" s="87">
        <v>8</v>
      </c>
      <c r="BM81" s="87">
        <v>6</v>
      </c>
      <c r="BN81" s="87">
        <v>1</v>
      </c>
      <c r="BO81" s="93">
        <f t="shared" si="150"/>
        <v>26.02444190972788</v>
      </c>
      <c r="BP81" s="92">
        <f t="shared" si="151"/>
        <v>6417.495012871872</v>
      </c>
      <c r="BQ81" s="73"/>
      <c r="BR81" s="92">
        <v>375</v>
      </c>
      <c r="BS81" s="92">
        <f t="shared" si="152"/>
        <v>322</v>
      </c>
      <c r="BT81" s="92">
        <f t="shared" si="153"/>
        <v>8.266666666666667</v>
      </c>
      <c r="BU81" s="92">
        <f t="shared" si="154"/>
        <v>56</v>
      </c>
      <c r="BV81" s="92">
        <v>8</v>
      </c>
      <c r="BW81" s="92">
        <v>6</v>
      </c>
      <c r="BX81" s="92">
        <v>1</v>
      </c>
      <c r="BY81" s="93">
        <f t="shared" si="155"/>
        <v>26.02444190972788</v>
      </c>
      <c r="BZ81" s="73">
        <f t="shared" si="156"/>
        <v>7305.090633530369</v>
      </c>
      <c r="CA81" s="73"/>
      <c r="CB81" s="92">
        <v>783</v>
      </c>
      <c r="CC81" s="92">
        <f t="shared" si="157"/>
        <v>322</v>
      </c>
      <c r="CD81" s="92">
        <f t="shared" si="158"/>
        <v>8.266666666666667</v>
      </c>
      <c r="CE81" s="92">
        <f t="shared" si="159"/>
        <v>56</v>
      </c>
      <c r="CF81" s="92">
        <v>8</v>
      </c>
      <c r="CG81" s="92">
        <v>6</v>
      </c>
      <c r="CH81" s="92">
        <v>4</v>
      </c>
      <c r="CI81" s="93">
        <f t="shared" si="160"/>
        <v>24.32854009261516</v>
      </c>
      <c r="CJ81" s="73">
        <f t="shared" si="161"/>
        <v>8561.366829794088</v>
      </c>
      <c r="CK81" s="73"/>
      <c r="CL81" s="92">
        <v>353</v>
      </c>
      <c r="CM81" s="92">
        <f t="shared" si="162"/>
        <v>322</v>
      </c>
      <c r="CN81" s="92">
        <f t="shared" si="163"/>
        <v>8.266666666666667</v>
      </c>
      <c r="CO81" s="92">
        <f t="shared" si="164"/>
        <v>56</v>
      </c>
      <c r="CP81" s="92">
        <v>8</v>
      </c>
      <c r="CQ81" s="92">
        <v>6</v>
      </c>
      <c r="CR81" s="92">
        <v>1</v>
      </c>
      <c r="CS81" s="93">
        <f t="shared" si="165"/>
        <v>26.02444190972788</v>
      </c>
      <c r="CT81" s="73">
        <f aca="true" t="shared" si="202" ref="CT81:CT120">POWER(CS81,0.97)*365</f>
        <v>8614.158264341902</v>
      </c>
      <c r="CU81" s="73"/>
      <c r="CV81" s="92">
        <v>472</v>
      </c>
      <c r="CW81" s="92">
        <f t="shared" si="167"/>
        <v>322</v>
      </c>
      <c r="CX81" s="92">
        <f t="shared" si="168"/>
        <v>8.266666666666667</v>
      </c>
      <c r="CY81" s="92">
        <f t="shared" si="192"/>
        <v>56</v>
      </c>
      <c r="CZ81" s="92">
        <v>8</v>
      </c>
      <c r="DA81" s="92">
        <v>6</v>
      </c>
      <c r="DB81" s="92">
        <v>1</v>
      </c>
      <c r="DC81" s="93">
        <f t="shared" si="169"/>
        <v>26.02444190972788</v>
      </c>
      <c r="DD81" s="73">
        <f aca="true" t="shared" si="203" ref="DD81:DD120">POWER(DC81,0.94)*340</f>
        <v>7276.750031706475</v>
      </c>
      <c r="DE81" s="73"/>
      <c r="DF81" s="73">
        <v>1888</v>
      </c>
      <c r="DG81" s="73">
        <f t="shared" si="171"/>
        <v>322</v>
      </c>
      <c r="DH81" s="73">
        <f t="shared" si="172"/>
        <v>8.266666666666667</v>
      </c>
      <c r="DI81" s="73">
        <f t="shared" si="173"/>
        <v>56</v>
      </c>
      <c r="DJ81" s="92">
        <v>8</v>
      </c>
      <c r="DK81" s="92">
        <v>6</v>
      </c>
      <c r="DL81" s="92">
        <v>1</v>
      </c>
      <c r="DM81" s="93">
        <f t="shared" si="174"/>
        <v>26.02444190972788</v>
      </c>
      <c r="DN81" s="73">
        <f aca="true" t="shared" si="204" ref="DN81:DN120">POWER(DM81,0.94)*345</f>
        <v>7383.7610615845115</v>
      </c>
      <c r="DO81" s="73"/>
      <c r="DP81" s="92">
        <v>445</v>
      </c>
      <c r="DQ81" s="73">
        <f t="shared" si="176"/>
        <v>322</v>
      </c>
      <c r="DR81" s="92">
        <f t="shared" si="177"/>
        <v>12.813333333333333</v>
      </c>
      <c r="DS81" s="73">
        <f t="shared" si="178"/>
        <v>56</v>
      </c>
      <c r="DT81" s="92">
        <v>8</v>
      </c>
      <c r="DU81" s="92">
        <v>6</v>
      </c>
      <c r="DV81" s="92">
        <v>1</v>
      </c>
      <c r="DW81" s="93">
        <f t="shared" si="179"/>
        <v>39.14169387545358</v>
      </c>
      <c r="DX81" s="92">
        <f t="shared" si="180"/>
        <v>5254.131666653875</v>
      </c>
      <c r="DY81" s="73"/>
      <c r="DZ81" s="73">
        <v>587</v>
      </c>
      <c r="EA81" s="92">
        <f t="shared" si="181"/>
        <v>322</v>
      </c>
      <c r="EB81" s="92">
        <f t="shared" si="182"/>
        <v>8.266666666666667</v>
      </c>
      <c r="EC81" s="92">
        <f t="shared" si="183"/>
        <v>56</v>
      </c>
      <c r="ED81" s="92">
        <v>8</v>
      </c>
      <c r="EE81" s="92">
        <v>6</v>
      </c>
      <c r="EF81" s="92">
        <v>1</v>
      </c>
      <c r="EG81" s="93">
        <f t="shared" si="184"/>
        <v>26.02444190972788</v>
      </c>
      <c r="EH81" s="92">
        <f t="shared" si="185"/>
        <v>8576.469104874986</v>
      </c>
      <c r="EI81" s="73"/>
      <c r="EJ81" s="92">
        <v>450</v>
      </c>
      <c r="EK81" s="73">
        <f t="shared" si="193"/>
        <v>13.416666666666666</v>
      </c>
      <c r="EL81" s="73">
        <f t="shared" si="194"/>
        <v>8.266666666666667</v>
      </c>
      <c r="EM81" s="73">
        <f t="shared" si="195"/>
        <v>22.4</v>
      </c>
      <c r="EN81" s="92">
        <v>8</v>
      </c>
      <c r="EO81" s="92">
        <v>6</v>
      </c>
      <c r="EP81" s="92">
        <v>1</v>
      </c>
      <c r="EQ81" s="93">
        <f t="shared" si="186"/>
        <v>14.633547429471966</v>
      </c>
      <c r="ER81" s="73">
        <f t="shared" si="187"/>
        <v>7530.600594861719</v>
      </c>
      <c r="ES81" s="73"/>
      <c r="ET81" s="142">
        <v>0</v>
      </c>
      <c r="EU81" s="142">
        <v>0</v>
      </c>
      <c r="EV81" s="142">
        <v>6</v>
      </c>
      <c r="EW81" s="142">
        <v>39.8</v>
      </c>
      <c r="EX81" s="142">
        <v>0</v>
      </c>
      <c r="EY81" s="142">
        <v>0</v>
      </c>
      <c r="EZ81" s="142">
        <v>0</v>
      </c>
      <c r="FA81" s="142">
        <v>4.8</v>
      </c>
      <c r="FB81" s="142">
        <v>49.4</v>
      </c>
      <c r="FC81" s="92">
        <f t="shared" si="188"/>
        <v>7920.0493265451605</v>
      </c>
      <c r="FE81" s="142">
        <v>611</v>
      </c>
      <c r="FF81" s="167">
        <f t="shared" si="196"/>
        <v>322</v>
      </c>
      <c r="FG81" s="167">
        <f t="shared" si="197"/>
        <v>8.266666666666667</v>
      </c>
      <c r="FH81" s="167">
        <f t="shared" si="199"/>
        <v>56</v>
      </c>
      <c r="FI81" s="167">
        <v>8</v>
      </c>
      <c r="FJ81" s="167">
        <v>6</v>
      </c>
      <c r="FK81" s="142">
        <v>1</v>
      </c>
      <c r="FL81" s="142">
        <f t="shared" si="198"/>
        <v>26.02444190972788</v>
      </c>
      <c r="FM81" s="142">
        <f>POWER(FL81,1)*275</f>
        <v>7156.721525175167</v>
      </c>
    </row>
    <row r="82" spans="1:169" s="17" customFormat="1" ht="17.25">
      <c r="A82" s="105">
        <v>75</v>
      </c>
      <c r="B82" s="72" t="s">
        <v>105</v>
      </c>
      <c r="C82" s="75">
        <v>1</v>
      </c>
      <c r="D82" s="72">
        <v>3</v>
      </c>
      <c r="E82" s="75">
        <v>648</v>
      </c>
      <c r="F82" s="75">
        <v>2484</v>
      </c>
      <c r="G82" s="75">
        <v>1476</v>
      </c>
      <c r="H82" s="72">
        <v>512</v>
      </c>
      <c r="I82" s="72">
        <v>80</v>
      </c>
      <c r="J82" s="72">
        <v>80</v>
      </c>
      <c r="K82" s="72">
        <v>32</v>
      </c>
      <c r="L82" s="106" t="s">
        <v>30</v>
      </c>
      <c r="M82" s="72">
        <f aca="true" t="shared" si="205" ref="M82:M87">J82*3</f>
        <v>240</v>
      </c>
      <c r="N82" s="106" t="s">
        <v>30</v>
      </c>
      <c r="O82" s="72" t="s">
        <v>21</v>
      </c>
      <c r="P82" s="77">
        <f t="shared" si="135"/>
        <v>566.6660160841786</v>
      </c>
      <c r="Q82" s="78">
        <f t="shared" si="200"/>
        <v>9691.081259428343</v>
      </c>
      <c r="R82" s="78">
        <f t="shared" si="191"/>
        <v>8571.961997066886</v>
      </c>
      <c r="S82" s="79">
        <v>1024</v>
      </c>
      <c r="T82" s="107">
        <v>30</v>
      </c>
      <c r="U82" s="90">
        <v>215</v>
      </c>
      <c r="V82" s="72" t="s">
        <v>37</v>
      </c>
      <c r="W82" s="72" t="s">
        <v>38</v>
      </c>
      <c r="X82" s="16" t="s">
        <v>39</v>
      </c>
      <c r="Y82" s="72" t="s">
        <v>40</v>
      </c>
      <c r="Z82" s="81">
        <v>10.5</v>
      </c>
      <c r="AA82" s="124" t="s">
        <v>559</v>
      </c>
      <c r="AB82" s="72">
        <v>10</v>
      </c>
      <c r="AC82" s="82">
        <v>3</v>
      </c>
      <c r="AD82" s="83">
        <v>470</v>
      </c>
      <c r="AE82" s="84">
        <f t="shared" si="201"/>
        <v>1400</v>
      </c>
      <c r="AF82" s="85" t="s">
        <v>285</v>
      </c>
      <c r="AG82" s="72"/>
      <c r="AH82" s="73"/>
      <c r="AI82" s="73">
        <f t="shared" si="136"/>
        <v>51.84</v>
      </c>
      <c r="AJ82" s="73">
        <f t="shared" si="137"/>
        <v>51.84</v>
      </c>
      <c r="AK82" s="73">
        <f t="shared" si="138"/>
        <v>20.736</v>
      </c>
      <c r="AL82" s="73">
        <f t="shared" si="139"/>
        <v>118.08</v>
      </c>
      <c r="AM82" s="92">
        <f t="shared" si="189"/>
        <v>158.976</v>
      </c>
      <c r="AN82" s="92">
        <f aca="true" t="shared" si="206" ref="AN82:AN91">POWER(INT(MIN(C82,D82)),0.4)+LN(INT(MIN(C82,D82)))*0.63</f>
        <v>1</v>
      </c>
      <c r="AO82" s="73">
        <v>2</v>
      </c>
      <c r="AP82" s="73">
        <v>1</v>
      </c>
      <c r="AQ82" s="73">
        <v>1</v>
      </c>
      <c r="AR82" s="73">
        <v>5</v>
      </c>
      <c r="AS82" s="87">
        <v>5</v>
      </c>
      <c r="AT82" s="73">
        <v>1</v>
      </c>
      <c r="AU82" s="73">
        <v>1.3</v>
      </c>
      <c r="AV82" s="73">
        <v>1</v>
      </c>
      <c r="AW82" s="73">
        <f t="shared" si="141"/>
        <v>51.84</v>
      </c>
      <c r="AX82" s="73">
        <f t="shared" si="142"/>
        <v>41.472</v>
      </c>
      <c r="AY82" s="73">
        <f t="shared" si="143"/>
        <v>90.28417699115045</v>
      </c>
      <c r="AZ82" s="73">
        <f t="shared" si="144"/>
        <v>119.4589678161937</v>
      </c>
      <c r="BA82" s="73"/>
      <c r="BB82" s="73">
        <v>0.02</v>
      </c>
      <c r="BC82" s="73">
        <f t="shared" si="146"/>
        <v>117.06978845986983</v>
      </c>
      <c r="BD82" s="73">
        <v>4.840412061378459</v>
      </c>
      <c r="BE82" s="87">
        <v>5.7504095289176105</v>
      </c>
      <c r="BF82" s="73"/>
      <c r="BG82" s="73"/>
      <c r="BH82" s="92">
        <v>548</v>
      </c>
      <c r="BI82" s="92">
        <f t="shared" si="147"/>
        <v>414.72</v>
      </c>
      <c r="BJ82" s="92">
        <f t="shared" si="148"/>
        <v>9.84</v>
      </c>
      <c r="BK82" s="87">
        <f t="shared" si="149"/>
        <v>79.488</v>
      </c>
      <c r="BL82" s="73">
        <v>8</v>
      </c>
      <c r="BM82" s="73">
        <v>6</v>
      </c>
      <c r="BN82" s="73">
        <v>1</v>
      </c>
      <c r="BO82" s="93">
        <f t="shared" si="150"/>
        <v>31.170770898425044</v>
      </c>
      <c r="BP82" s="92">
        <f t="shared" si="151"/>
        <v>7798.318119644751</v>
      </c>
      <c r="BQ82" s="73"/>
      <c r="BR82" s="92">
        <v>375</v>
      </c>
      <c r="BS82" s="92">
        <f t="shared" si="152"/>
        <v>414.72</v>
      </c>
      <c r="BT82" s="92">
        <f t="shared" si="153"/>
        <v>9.84</v>
      </c>
      <c r="BU82" s="92">
        <f t="shared" si="154"/>
        <v>79.488</v>
      </c>
      <c r="BV82" s="92">
        <v>8</v>
      </c>
      <c r="BW82" s="92">
        <v>6</v>
      </c>
      <c r="BX82" s="92">
        <v>1</v>
      </c>
      <c r="BY82" s="93">
        <f t="shared" si="155"/>
        <v>31.170770898425044</v>
      </c>
      <c r="BZ82" s="73">
        <f t="shared" si="156"/>
        <v>8733.89699370443</v>
      </c>
      <c r="CA82" s="73"/>
      <c r="CB82" s="92">
        <v>783</v>
      </c>
      <c r="CC82" s="92">
        <f t="shared" si="157"/>
        <v>414.72</v>
      </c>
      <c r="CD82" s="92">
        <f t="shared" si="158"/>
        <v>9.84</v>
      </c>
      <c r="CE82" s="92">
        <f t="shared" si="159"/>
        <v>79.488</v>
      </c>
      <c r="CF82" s="92">
        <v>8</v>
      </c>
      <c r="CG82" s="92">
        <v>6</v>
      </c>
      <c r="CH82" s="92">
        <v>4</v>
      </c>
      <c r="CI82" s="93">
        <f t="shared" si="160"/>
        <v>29.43911354671645</v>
      </c>
      <c r="CJ82" s="73">
        <f t="shared" si="161"/>
        <v>10459.04953340592</v>
      </c>
      <c r="CK82" s="73"/>
      <c r="CL82" s="92">
        <v>353</v>
      </c>
      <c r="CM82" s="92">
        <f t="shared" si="162"/>
        <v>414.72</v>
      </c>
      <c r="CN82" s="92">
        <f t="shared" si="163"/>
        <v>9.84</v>
      </c>
      <c r="CO82" s="92">
        <f t="shared" si="164"/>
        <v>79.488</v>
      </c>
      <c r="CP82" s="92">
        <v>8</v>
      </c>
      <c r="CQ82" s="92">
        <v>6</v>
      </c>
      <c r="CR82" s="92">
        <v>1</v>
      </c>
      <c r="CS82" s="93">
        <f t="shared" si="165"/>
        <v>31.170770898425044</v>
      </c>
      <c r="CT82" s="73">
        <f t="shared" si="202"/>
        <v>10261.904798344372</v>
      </c>
      <c r="CU82" s="73"/>
      <c r="CV82" s="92">
        <v>472</v>
      </c>
      <c r="CW82" s="92">
        <f t="shared" si="167"/>
        <v>414.72</v>
      </c>
      <c r="CX82" s="92">
        <f t="shared" si="168"/>
        <v>9.84</v>
      </c>
      <c r="CY82" s="92">
        <f t="shared" si="192"/>
        <v>79.488</v>
      </c>
      <c r="CZ82" s="92">
        <v>8</v>
      </c>
      <c r="DA82" s="92">
        <v>6</v>
      </c>
      <c r="DB82" s="92">
        <v>1</v>
      </c>
      <c r="DC82" s="93">
        <f t="shared" si="169"/>
        <v>31.170770898425044</v>
      </c>
      <c r="DD82" s="73">
        <f t="shared" si="203"/>
        <v>8621.87272563096</v>
      </c>
      <c r="DE82" s="73"/>
      <c r="DF82" s="73">
        <v>1888</v>
      </c>
      <c r="DG82" s="73">
        <f t="shared" si="171"/>
        <v>414.72</v>
      </c>
      <c r="DH82" s="73">
        <f t="shared" si="172"/>
        <v>9.84</v>
      </c>
      <c r="DI82" s="73">
        <f t="shared" si="173"/>
        <v>79.488</v>
      </c>
      <c r="DJ82" s="92">
        <v>8</v>
      </c>
      <c r="DK82" s="92">
        <v>6</v>
      </c>
      <c r="DL82" s="92">
        <v>1</v>
      </c>
      <c r="DM82" s="93">
        <f t="shared" si="174"/>
        <v>31.170770898425044</v>
      </c>
      <c r="DN82" s="73">
        <f t="shared" si="204"/>
        <v>8748.664971596121</v>
      </c>
      <c r="DO82" s="73"/>
      <c r="DP82" s="92">
        <v>445</v>
      </c>
      <c r="DQ82" s="73">
        <f t="shared" si="176"/>
        <v>414.72</v>
      </c>
      <c r="DR82" s="92">
        <f t="shared" si="177"/>
        <v>18.1548</v>
      </c>
      <c r="DS82" s="73">
        <f t="shared" si="178"/>
        <v>79.488</v>
      </c>
      <c r="DT82" s="92">
        <v>8</v>
      </c>
      <c r="DU82" s="92">
        <v>6</v>
      </c>
      <c r="DV82" s="92">
        <v>1</v>
      </c>
      <c r="DW82" s="93">
        <f t="shared" si="179"/>
        <v>55.193463659920866</v>
      </c>
      <c r="DX82" s="92">
        <f t="shared" si="180"/>
        <v>7207.9064636218445</v>
      </c>
      <c r="DY82" s="73"/>
      <c r="DZ82" s="73">
        <v>587</v>
      </c>
      <c r="EA82" s="92">
        <f t="shared" si="181"/>
        <v>414.72</v>
      </c>
      <c r="EB82" s="92">
        <f t="shared" si="182"/>
        <v>9.84</v>
      </c>
      <c r="EC82" s="92">
        <f t="shared" si="183"/>
        <v>79.488</v>
      </c>
      <c r="ED82" s="92">
        <v>8</v>
      </c>
      <c r="EE82" s="92">
        <v>6</v>
      </c>
      <c r="EF82" s="92">
        <v>1</v>
      </c>
      <c r="EG82" s="93">
        <f t="shared" si="184"/>
        <v>31.170770898425044</v>
      </c>
      <c r="EH82" s="92">
        <f t="shared" si="185"/>
        <v>10365.564338962198</v>
      </c>
      <c r="EI82" s="73"/>
      <c r="EJ82" s="92">
        <v>450</v>
      </c>
      <c r="EK82" s="73">
        <f t="shared" si="193"/>
        <v>17.28</v>
      </c>
      <c r="EL82" s="73">
        <f t="shared" si="194"/>
        <v>9.84</v>
      </c>
      <c r="EM82" s="73">
        <f t="shared" si="195"/>
        <v>31.7952</v>
      </c>
      <c r="EN82" s="92">
        <v>8</v>
      </c>
      <c r="EO82" s="92">
        <v>6</v>
      </c>
      <c r="EP82" s="92">
        <v>1</v>
      </c>
      <c r="EQ82" s="93">
        <f t="shared" si="186"/>
        <v>18.113147144643605</v>
      </c>
      <c r="ER82" s="73">
        <f t="shared" si="187"/>
        <v>9421.19785915148</v>
      </c>
      <c r="ES82" s="73"/>
      <c r="ET82" s="142">
        <v>0</v>
      </c>
      <c r="EU82" s="142">
        <v>0</v>
      </c>
      <c r="EV82" s="142">
        <v>6</v>
      </c>
      <c r="EW82" s="142">
        <v>39.8</v>
      </c>
      <c r="EX82" s="142">
        <v>0</v>
      </c>
      <c r="EY82" s="142">
        <v>0</v>
      </c>
      <c r="EZ82" s="142">
        <v>0</v>
      </c>
      <c r="FA82" s="142">
        <v>4.8</v>
      </c>
      <c r="FB82" s="142">
        <v>49.4</v>
      </c>
      <c r="FC82" s="92">
        <f t="shared" si="188"/>
        <v>9691.081259428343</v>
      </c>
      <c r="FE82" s="142">
        <v>611</v>
      </c>
      <c r="FF82" s="167">
        <f t="shared" si="196"/>
        <v>414.72</v>
      </c>
      <c r="FG82" s="167">
        <f t="shared" si="197"/>
        <v>9.84</v>
      </c>
      <c r="FH82" s="167">
        <f t="shared" si="199"/>
        <v>79.488</v>
      </c>
      <c r="FI82" s="167">
        <v>8</v>
      </c>
      <c r="FJ82" s="167">
        <v>6</v>
      </c>
      <c r="FK82" s="142">
        <v>1</v>
      </c>
      <c r="FL82" s="142">
        <f t="shared" si="198"/>
        <v>31.170770898425044</v>
      </c>
      <c r="FM82" s="142">
        <f>POWER(FL82,1)*275</f>
        <v>8571.961997066886</v>
      </c>
    </row>
    <row r="83" spans="1:169" s="17" customFormat="1" ht="17.25">
      <c r="A83" s="105">
        <v>76</v>
      </c>
      <c r="B83" s="72" t="s">
        <v>33</v>
      </c>
      <c r="C83" s="75">
        <v>1</v>
      </c>
      <c r="D83" s="72">
        <v>3</v>
      </c>
      <c r="E83" s="75">
        <v>602</v>
      </c>
      <c r="F83" s="75">
        <v>2214</v>
      </c>
      <c r="G83" s="75">
        <v>1296</v>
      </c>
      <c r="H83" s="72">
        <v>512</v>
      </c>
      <c r="I83" s="72">
        <v>80</v>
      </c>
      <c r="J83" s="72">
        <v>80</v>
      </c>
      <c r="K83" s="72">
        <v>32</v>
      </c>
      <c r="L83" s="106" t="s">
        <v>30</v>
      </c>
      <c r="M83" s="94">
        <f t="shared" si="205"/>
        <v>240</v>
      </c>
      <c r="N83" s="106" t="s">
        <v>30</v>
      </c>
      <c r="O83" s="72" t="s">
        <v>21</v>
      </c>
      <c r="P83" s="77">
        <f t="shared" si="135"/>
        <v>506.5604332857721</v>
      </c>
      <c r="Q83" s="78">
        <f t="shared" si="200"/>
        <v>8616.918258725382</v>
      </c>
      <c r="R83" s="78">
        <f t="shared" si="191"/>
        <v>7541.237317559312</v>
      </c>
      <c r="S83" s="79">
        <v>1024</v>
      </c>
      <c r="T83" s="107">
        <v>43</v>
      </c>
      <c r="U83" s="90">
        <v>225</v>
      </c>
      <c r="V83" s="72" t="s">
        <v>37</v>
      </c>
      <c r="W83" s="72" t="s">
        <v>29</v>
      </c>
      <c r="X83" s="14" t="s">
        <v>39</v>
      </c>
      <c r="Y83" s="72" t="s">
        <v>40</v>
      </c>
      <c r="Z83" s="81">
        <v>10.5</v>
      </c>
      <c r="AA83" s="124" t="s">
        <v>559</v>
      </c>
      <c r="AB83" s="72">
        <v>10</v>
      </c>
      <c r="AC83" s="82">
        <v>3</v>
      </c>
      <c r="AD83" s="83">
        <v>576</v>
      </c>
      <c r="AE83" s="84">
        <f t="shared" si="201"/>
        <v>1400</v>
      </c>
      <c r="AF83" s="85">
        <v>65</v>
      </c>
      <c r="AG83" s="72"/>
      <c r="AH83" s="73"/>
      <c r="AI83" s="73">
        <f t="shared" si="136"/>
        <v>48.16</v>
      </c>
      <c r="AJ83" s="73">
        <f t="shared" si="137"/>
        <v>48.16</v>
      </c>
      <c r="AK83" s="73">
        <f t="shared" si="138"/>
        <v>19.264</v>
      </c>
      <c r="AL83" s="73">
        <f t="shared" si="139"/>
        <v>103.68</v>
      </c>
      <c r="AM83" s="92">
        <f t="shared" si="189"/>
        <v>141.696</v>
      </c>
      <c r="AN83" s="92">
        <f t="shared" si="206"/>
        <v>1</v>
      </c>
      <c r="AO83" s="73">
        <v>2</v>
      </c>
      <c r="AP83" s="73">
        <v>1</v>
      </c>
      <c r="AQ83" s="73">
        <v>1</v>
      </c>
      <c r="AR83" s="87">
        <v>5</v>
      </c>
      <c r="AS83" s="87">
        <v>5</v>
      </c>
      <c r="AT83" s="73">
        <v>1</v>
      </c>
      <c r="AU83" s="73">
        <v>1.3</v>
      </c>
      <c r="AV83" s="73">
        <v>1</v>
      </c>
      <c r="AW83" s="73">
        <f t="shared" si="141"/>
        <v>48.16</v>
      </c>
      <c r="AX83" s="73">
        <f t="shared" si="142"/>
        <v>38.528</v>
      </c>
      <c r="AY83" s="73">
        <f t="shared" si="143"/>
        <v>80.88383585313176</v>
      </c>
      <c r="AZ83" s="73">
        <f t="shared" si="144"/>
        <v>106.78809877289854</v>
      </c>
      <c r="BA83" s="73"/>
      <c r="BB83" s="73">
        <v>0.02</v>
      </c>
      <c r="BC83" s="73">
        <f t="shared" si="146"/>
        <v>104.65233679744057</v>
      </c>
      <c r="BD83" s="73">
        <v>4.840412061378459</v>
      </c>
      <c r="BE83" s="87">
        <v>5.7504095289176105</v>
      </c>
      <c r="BF83" s="73"/>
      <c r="BG83" s="73"/>
      <c r="BH83" s="92">
        <v>548</v>
      </c>
      <c r="BI83" s="92">
        <f t="shared" si="147"/>
        <v>385.28</v>
      </c>
      <c r="BJ83" s="92">
        <f t="shared" si="148"/>
        <v>8.64</v>
      </c>
      <c r="BK83" s="87">
        <f t="shared" si="149"/>
        <v>70.848</v>
      </c>
      <c r="BL83" s="87">
        <v>8</v>
      </c>
      <c r="BM83" s="87">
        <v>6</v>
      </c>
      <c r="BN83" s="87">
        <v>1</v>
      </c>
      <c r="BO83" s="93">
        <f t="shared" si="150"/>
        <v>27.422681154761136</v>
      </c>
      <c r="BP83" s="92">
        <f t="shared" si="151"/>
        <v>6790.665031448099</v>
      </c>
      <c r="BQ83" s="73"/>
      <c r="BR83" s="92">
        <v>375</v>
      </c>
      <c r="BS83" s="92">
        <f t="shared" si="152"/>
        <v>385.28</v>
      </c>
      <c r="BT83" s="92">
        <f t="shared" si="153"/>
        <v>8.64</v>
      </c>
      <c r="BU83" s="92">
        <f t="shared" si="154"/>
        <v>70.848</v>
      </c>
      <c r="BV83" s="92">
        <v>8</v>
      </c>
      <c r="BW83" s="92">
        <v>6</v>
      </c>
      <c r="BX83" s="92">
        <v>1</v>
      </c>
      <c r="BY83" s="93">
        <f t="shared" si="155"/>
        <v>27.422681154761136</v>
      </c>
      <c r="BZ83" s="73">
        <f t="shared" si="156"/>
        <v>7693.550572035335</v>
      </c>
      <c r="CA83" s="73"/>
      <c r="CB83" s="92">
        <v>783</v>
      </c>
      <c r="CC83" s="92">
        <f t="shared" si="157"/>
        <v>385.28</v>
      </c>
      <c r="CD83" s="92">
        <f t="shared" si="158"/>
        <v>8.64</v>
      </c>
      <c r="CE83" s="92">
        <f t="shared" si="159"/>
        <v>70.848</v>
      </c>
      <c r="CF83" s="92">
        <v>8</v>
      </c>
      <c r="CG83" s="92">
        <v>6</v>
      </c>
      <c r="CH83" s="92">
        <v>4</v>
      </c>
      <c r="CI83" s="93">
        <f t="shared" si="160"/>
        <v>25.917899854156538</v>
      </c>
      <c r="CJ83" s="73">
        <f t="shared" si="161"/>
        <v>9149.577761450748</v>
      </c>
      <c r="CK83" s="73"/>
      <c r="CL83" s="92">
        <v>353</v>
      </c>
      <c r="CM83" s="92">
        <f t="shared" si="162"/>
        <v>385.28</v>
      </c>
      <c r="CN83" s="92">
        <f t="shared" si="163"/>
        <v>8.64</v>
      </c>
      <c r="CO83" s="92">
        <f t="shared" si="164"/>
        <v>70.848</v>
      </c>
      <c r="CP83" s="92">
        <v>8</v>
      </c>
      <c r="CQ83" s="92">
        <v>6</v>
      </c>
      <c r="CR83" s="92">
        <v>1</v>
      </c>
      <c r="CS83" s="93">
        <f t="shared" si="165"/>
        <v>27.422681154761136</v>
      </c>
      <c r="CT83" s="73">
        <f t="shared" si="202"/>
        <v>9062.73917389274</v>
      </c>
      <c r="CU83" s="73"/>
      <c r="CV83" s="92">
        <v>472</v>
      </c>
      <c r="CW83" s="92">
        <f t="shared" si="167"/>
        <v>385.28</v>
      </c>
      <c r="CX83" s="92">
        <f t="shared" si="168"/>
        <v>8.64</v>
      </c>
      <c r="CY83" s="92">
        <f t="shared" si="192"/>
        <v>70.848</v>
      </c>
      <c r="CZ83" s="92">
        <v>8</v>
      </c>
      <c r="DA83" s="92">
        <v>6</v>
      </c>
      <c r="DB83" s="92">
        <v>1</v>
      </c>
      <c r="DC83" s="93">
        <f t="shared" si="169"/>
        <v>27.422681154761136</v>
      </c>
      <c r="DD83" s="73">
        <f t="shared" si="203"/>
        <v>7643.67540881837</v>
      </c>
      <c r="DE83" s="73"/>
      <c r="DF83" s="73">
        <v>1888</v>
      </c>
      <c r="DG83" s="73">
        <f t="shared" si="171"/>
        <v>385.28</v>
      </c>
      <c r="DH83" s="73">
        <f t="shared" si="172"/>
        <v>8.64</v>
      </c>
      <c r="DI83" s="73">
        <f t="shared" si="173"/>
        <v>70.848</v>
      </c>
      <c r="DJ83" s="92">
        <v>8</v>
      </c>
      <c r="DK83" s="92">
        <v>6</v>
      </c>
      <c r="DL83" s="92">
        <v>1</v>
      </c>
      <c r="DM83" s="93">
        <f t="shared" si="174"/>
        <v>27.422681154761136</v>
      </c>
      <c r="DN83" s="73">
        <f t="shared" si="204"/>
        <v>7756.082400124522</v>
      </c>
      <c r="DO83" s="73"/>
      <c r="DP83" s="92">
        <v>445</v>
      </c>
      <c r="DQ83" s="73">
        <f t="shared" si="176"/>
        <v>385.28</v>
      </c>
      <c r="DR83" s="92">
        <f t="shared" si="177"/>
        <v>13.9968</v>
      </c>
      <c r="DS83" s="73">
        <f t="shared" si="178"/>
        <v>70.848</v>
      </c>
      <c r="DT83" s="92">
        <v>8</v>
      </c>
      <c r="DU83" s="92">
        <v>6</v>
      </c>
      <c r="DV83" s="92">
        <v>1</v>
      </c>
      <c r="DW83" s="93">
        <f t="shared" si="179"/>
        <v>43.14545425934405</v>
      </c>
      <c r="DX83" s="92">
        <f t="shared" si="180"/>
        <v>5746.6235366405235</v>
      </c>
      <c r="DY83" s="73"/>
      <c r="DZ83" s="73">
        <v>587</v>
      </c>
      <c r="EA83" s="92">
        <f t="shared" si="181"/>
        <v>385.28</v>
      </c>
      <c r="EB83" s="92">
        <f t="shared" si="182"/>
        <v>8.64</v>
      </c>
      <c r="EC83" s="92">
        <f t="shared" si="183"/>
        <v>70.848</v>
      </c>
      <c r="ED83" s="92">
        <v>8</v>
      </c>
      <c r="EE83" s="92">
        <v>6</v>
      </c>
      <c r="EF83" s="92">
        <v>1</v>
      </c>
      <c r="EG83" s="93">
        <f t="shared" si="184"/>
        <v>27.422681154761136</v>
      </c>
      <c r="EH83" s="92">
        <f t="shared" si="185"/>
        <v>9060.943892730078</v>
      </c>
      <c r="EI83" s="73"/>
      <c r="EJ83" s="92">
        <v>450</v>
      </c>
      <c r="EK83" s="73">
        <f t="shared" si="193"/>
        <v>16.053333333333335</v>
      </c>
      <c r="EL83" s="73">
        <f t="shared" si="194"/>
        <v>8.64</v>
      </c>
      <c r="EM83" s="73">
        <f t="shared" si="195"/>
        <v>28.339199999999998</v>
      </c>
      <c r="EN83" s="92">
        <v>8</v>
      </c>
      <c r="EO83" s="92">
        <v>6</v>
      </c>
      <c r="EP83" s="92">
        <v>1</v>
      </c>
      <c r="EQ83" s="93">
        <f t="shared" si="186"/>
        <v>16.285714940299137</v>
      </c>
      <c r="ER83" s="73">
        <f t="shared" si="187"/>
        <v>8425.771630984242</v>
      </c>
      <c r="ES83" s="73"/>
      <c r="ET83" s="142">
        <v>0</v>
      </c>
      <c r="EU83" s="142">
        <v>0</v>
      </c>
      <c r="EV83" s="142">
        <v>6</v>
      </c>
      <c r="EW83" s="142">
        <v>39.8</v>
      </c>
      <c r="EX83" s="142">
        <v>0</v>
      </c>
      <c r="EY83" s="142">
        <v>0</v>
      </c>
      <c r="EZ83" s="142">
        <v>0</v>
      </c>
      <c r="FA83" s="142">
        <v>4.8</v>
      </c>
      <c r="FB83" s="142">
        <v>49.4</v>
      </c>
      <c r="FC83" s="92">
        <f t="shared" si="188"/>
        <v>8616.918258725382</v>
      </c>
      <c r="FE83" s="142">
        <v>611</v>
      </c>
      <c r="FF83" s="167">
        <f t="shared" si="196"/>
        <v>385.28</v>
      </c>
      <c r="FG83" s="167">
        <f t="shared" si="197"/>
        <v>8.64</v>
      </c>
      <c r="FH83" s="167">
        <f t="shared" si="199"/>
        <v>70.848</v>
      </c>
      <c r="FI83" s="167">
        <v>8</v>
      </c>
      <c r="FJ83" s="167">
        <v>6</v>
      </c>
      <c r="FK83" s="142">
        <v>1</v>
      </c>
      <c r="FL83" s="142">
        <f t="shared" si="198"/>
        <v>27.422681154761136</v>
      </c>
      <c r="FM83" s="142">
        <f>POWER(FL83,1)*275</f>
        <v>7541.237317559312</v>
      </c>
    </row>
    <row r="84" spans="1:169" s="17" customFormat="1" ht="17.25">
      <c r="A84" s="105">
        <v>77</v>
      </c>
      <c r="B84" s="72" t="s">
        <v>295</v>
      </c>
      <c r="C84" s="75">
        <v>1</v>
      </c>
      <c r="D84" s="72">
        <v>3</v>
      </c>
      <c r="E84" s="75">
        <v>633</v>
      </c>
      <c r="F84" s="75">
        <v>2328</v>
      </c>
      <c r="G84" s="75">
        <v>1404</v>
      </c>
      <c r="H84" s="72">
        <v>448</v>
      </c>
      <c r="I84" s="72">
        <v>80</v>
      </c>
      <c r="J84" s="72">
        <v>80</v>
      </c>
      <c r="K84" s="72">
        <v>28</v>
      </c>
      <c r="L84" s="106" t="s">
        <v>30</v>
      </c>
      <c r="M84" s="72">
        <f t="shared" si="205"/>
        <v>240</v>
      </c>
      <c r="N84" s="106" t="s">
        <v>30</v>
      </c>
      <c r="O84" s="72" t="s">
        <v>21</v>
      </c>
      <c r="P84" s="77">
        <f t="shared" si="135"/>
        <v>502.7559749546445</v>
      </c>
      <c r="Q84" s="78">
        <f t="shared" si="200"/>
        <v>8924.219028973184</v>
      </c>
      <c r="R84" s="78">
        <f t="shared" si="191"/>
        <v>8100.921598703059</v>
      </c>
      <c r="S84" s="79">
        <v>896</v>
      </c>
      <c r="T84" s="107">
        <v>35</v>
      </c>
      <c r="U84" s="90">
        <v>225</v>
      </c>
      <c r="V84" s="72" t="s">
        <v>37</v>
      </c>
      <c r="W84" s="72" t="s">
        <v>38</v>
      </c>
      <c r="X84" s="16" t="s">
        <v>39</v>
      </c>
      <c r="Y84" s="72" t="s">
        <v>40</v>
      </c>
      <c r="Z84" s="81">
        <v>10.5</v>
      </c>
      <c r="AA84" s="124" t="s">
        <v>559</v>
      </c>
      <c r="AB84" s="72">
        <v>10</v>
      </c>
      <c r="AC84" s="82">
        <v>3</v>
      </c>
      <c r="AD84" s="83">
        <v>470</v>
      </c>
      <c r="AE84" s="84">
        <f t="shared" si="201"/>
        <v>1400</v>
      </c>
      <c r="AF84" s="85">
        <v>55</v>
      </c>
      <c r="AG84" s="72"/>
      <c r="AH84" s="73"/>
      <c r="AI84" s="73">
        <f t="shared" si="136"/>
        <v>50.64</v>
      </c>
      <c r="AJ84" s="73">
        <f t="shared" si="137"/>
        <v>50.64</v>
      </c>
      <c r="AK84" s="73">
        <f t="shared" si="138"/>
        <v>17.724</v>
      </c>
      <c r="AL84" s="73">
        <f t="shared" si="139"/>
        <v>112.32</v>
      </c>
      <c r="AM84" s="92">
        <f t="shared" si="189"/>
        <v>130.368</v>
      </c>
      <c r="AN84" s="92">
        <f t="shared" si="206"/>
        <v>1</v>
      </c>
      <c r="AO84" s="73">
        <v>2</v>
      </c>
      <c r="AP84" s="73">
        <v>1</v>
      </c>
      <c r="AQ84" s="73">
        <v>1</v>
      </c>
      <c r="AR84" s="87">
        <v>5</v>
      </c>
      <c r="AS84" s="87">
        <v>5</v>
      </c>
      <c r="AT84" s="73">
        <v>1</v>
      </c>
      <c r="AU84" s="73">
        <v>1.3</v>
      </c>
      <c r="AV84" s="73">
        <v>1</v>
      </c>
      <c r="AW84" s="73">
        <f t="shared" si="141"/>
        <v>50.63999999999999</v>
      </c>
      <c r="AX84" s="73">
        <f t="shared" si="142"/>
        <v>38.670545454545454</v>
      </c>
      <c r="AY84" s="73">
        <f t="shared" si="143"/>
        <v>85.25737387580301</v>
      </c>
      <c r="AZ84" s="73">
        <f t="shared" si="144"/>
        <v>105.98608020740068</v>
      </c>
      <c r="BA84" s="73"/>
      <c r="BB84" s="73">
        <v>0.02</v>
      </c>
      <c r="BC84" s="73">
        <f t="shared" si="146"/>
        <v>103.86635860325266</v>
      </c>
      <c r="BD84" s="73">
        <v>4.840412061378459</v>
      </c>
      <c r="BE84" s="87">
        <v>5.7504095289176105</v>
      </c>
      <c r="BF84" s="73"/>
      <c r="BG84" s="73"/>
      <c r="BH84" s="92">
        <v>548</v>
      </c>
      <c r="BI84" s="92">
        <f t="shared" si="147"/>
        <v>354.48</v>
      </c>
      <c r="BJ84" s="92">
        <f t="shared" si="148"/>
        <v>9.36</v>
      </c>
      <c r="BK84" s="87">
        <f t="shared" si="149"/>
        <v>65.184</v>
      </c>
      <c r="BL84" s="87">
        <v>8</v>
      </c>
      <c r="BM84" s="87">
        <v>6</v>
      </c>
      <c r="BN84" s="87">
        <v>1</v>
      </c>
      <c r="BO84" s="93">
        <f t="shared" si="150"/>
        <v>29.45789672255658</v>
      </c>
      <c r="BP84" s="92">
        <f t="shared" si="151"/>
        <v>7336.5431298223475</v>
      </c>
      <c r="BQ84" s="73"/>
      <c r="BR84" s="92">
        <v>375</v>
      </c>
      <c r="BS84" s="92">
        <f t="shared" si="152"/>
        <v>354.48</v>
      </c>
      <c r="BT84" s="92">
        <f t="shared" si="153"/>
        <v>9.36</v>
      </c>
      <c r="BU84" s="92">
        <f t="shared" si="154"/>
        <v>65.184</v>
      </c>
      <c r="BV84" s="92">
        <v>8</v>
      </c>
      <c r="BW84" s="92">
        <v>6</v>
      </c>
      <c r="BX84" s="92">
        <v>1</v>
      </c>
      <c r="BY84" s="93">
        <f t="shared" si="155"/>
        <v>29.45789672255658</v>
      </c>
      <c r="BZ84" s="73">
        <f t="shared" si="156"/>
        <v>8258.624415383505</v>
      </c>
      <c r="CA84" s="73"/>
      <c r="CB84" s="92">
        <v>783</v>
      </c>
      <c r="CC84" s="92">
        <f t="shared" si="157"/>
        <v>354.48</v>
      </c>
      <c r="CD84" s="92">
        <f t="shared" si="158"/>
        <v>9.36</v>
      </c>
      <c r="CE84" s="92">
        <f t="shared" si="159"/>
        <v>65.184</v>
      </c>
      <c r="CF84" s="92">
        <v>8</v>
      </c>
      <c r="CG84" s="92">
        <v>6</v>
      </c>
      <c r="CH84" s="92">
        <v>4</v>
      </c>
      <c r="CI84" s="93">
        <f t="shared" si="160"/>
        <v>27.58777988989557</v>
      </c>
      <c r="CJ84" s="73">
        <f t="shared" si="161"/>
        <v>9769.533909205862</v>
      </c>
      <c r="CK84" s="73"/>
      <c r="CL84" s="92">
        <v>353</v>
      </c>
      <c r="CM84" s="92">
        <f t="shared" si="162"/>
        <v>354.48</v>
      </c>
      <c r="CN84" s="92">
        <f t="shared" si="163"/>
        <v>9.36</v>
      </c>
      <c r="CO84" s="92">
        <f t="shared" si="164"/>
        <v>65.184</v>
      </c>
      <c r="CP84" s="92">
        <v>8</v>
      </c>
      <c r="CQ84" s="92">
        <v>6</v>
      </c>
      <c r="CR84" s="92">
        <v>1</v>
      </c>
      <c r="CS84" s="93">
        <f t="shared" si="165"/>
        <v>29.45789672255658</v>
      </c>
      <c r="CT84" s="73">
        <f t="shared" si="202"/>
        <v>9714.45738855228</v>
      </c>
      <c r="CU84" s="73"/>
      <c r="CV84" s="92">
        <v>472</v>
      </c>
      <c r="CW84" s="92">
        <f t="shared" si="167"/>
        <v>354.48</v>
      </c>
      <c r="CX84" s="92">
        <f t="shared" si="168"/>
        <v>9.36</v>
      </c>
      <c r="CY84" s="92">
        <f t="shared" si="192"/>
        <v>65.184</v>
      </c>
      <c r="CZ84" s="92">
        <v>8</v>
      </c>
      <c r="DA84" s="92">
        <v>6</v>
      </c>
      <c r="DB84" s="92">
        <v>1</v>
      </c>
      <c r="DC84" s="93">
        <f t="shared" si="169"/>
        <v>29.45789672255658</v>
      </c>
      <c r="DD84" s="73">
        <f t="shared" si="203"/>
        <v>8175.7677922884595</v>
      </c>
      <c r="DE84" s="73"/>
      <c r="DF84" s="73">
        <v>1888</v>
      </c>
      <c r="DG84" s="73">
        <f t="shared" si="171"/>
        <v>354.48</v>
      </c>
      <c r="DH84" s="73">
        <f t="shared" si="172"/>
        <v>9.36</v>
      </c>
      <c r="DI84" s="73">
        <f t="shared" si="173"/>
        <v>65.184</v>
      </c>
      <c r="DJ84" s="92">
        <v>8</v>
      </c>
      <c r="DK84" s="92">
        <v>6</v>
      </c>
      <c r="DL84" s="92">
        <v>1</v>
      </c>
      <c r="DM84" s="93">
        <f t="shared" si="174"/>
        <v>29.45789672255658</v>
      </c>
      <c r="DN84" s="73">
        <f t="shared" si="204"/>
        <v>8295.99967158682</v>
      </c>
      <c r="DO84" s="73"/>
      <c r="DP84" s="92">
        <v>445</v>
      </c>
      <c r="DQ84" s="73">
        <f t="shared" si="176"/>
        <v>354.48</v>
      </c>
      <c r="DR84" s="92">
        <f t="shared" si="177"/>
        <v>16.4268</v>
      </c>
      <c r="DS84" s="73">
        <f t="shared" si="178"/>
        <v>65.184</v>
      </c>
      <c r="DT84" s="92">
        <v>8</v>
      </c>
      <c r="DU84" s="92">
        <v>6</v>
      </c>
      <c r="DV84" s="92">
        <v>1</v>
      </c>
      <c r="DW84" s="93">
        <f t="shared" si="179"/>
        <v>49.6073291495002</v>
      </c>
      <c r="DX84" s="92">
        <f t="shared" si="180"/>
        <v>6533.933089704462</v>
      </c>
      <c r="DY84" s="73"/>
      <c r="DZ84" s="73">
        <v>587</v>
      </c>
      <c r="EA84" s="92">
        <f t="shared" si="181"/>
        <v>354.48</v>
      </c>
      <c r="EB84" s="92">
        <f t="shared" si="182"/>
        <v>9.36</v>
      </c>
      <c r="EC84" s="92">
        <f t="shared" si="183"/>
        <v>65.184</v>
      </c>
      <c r="ED84" s="92">
        <v>8</v>
      </c>
      <c r="EE84" s="92">
        <v>6</v>
      </c>
      <c r="EF84" s="92">
        <v>1</v>
      </c>
      <c r="EG84" s="93">
        <f t="shared" si="184"/>
        <v>29.45789672255658</v>
      </c>
      <c r="EH84" s="92">
        <f t="shared" si="185"/>
        <v>9768.319440558142</v>
      </c>
      <c r="EI84" s="73"/>
      <c r="EJ84" s="92">
        <v>450</v>
      </c>
      <c r="EK84" s="73">
        <f t="shared" si="193"/>
        <v>14.77</v>
      </c>
      <c r="EL84" s="73">
        <f t="shared" si="194"/>
        <v>9.36</v>
      </c>
      <c r="EM84" s="73">
        <f t="shared" si="195"/>
        <v>26.0736</v>
      </c>
      <c r="EN84" s="92">
        <v>8</v>
      </c>
      <c r="EO84" s="92">
        <v>6</v>
      </c>
      <c r="EP84" s="92">
        <v>1</v>
      </c>
      <c r="EQ84" s="93">
        <f t="shared" si="186"/>
        <v>16.379787419698374</v>
      </c>
      <c r="ER84" s="73">
        <f t="shared" si="187"/>
        <v>8476.882979817841</v>
      </c>
      <c r="ES84" s="73"/>
      <c r="ET84" s="142">
        <v>0</v>
      </c>
      <c r="EU84" s="142">
        <v>0</v>
      </c>
      <c r="EV84" s="142">
        <v>6</v>
      </c>
      <c r="EW84" s="142">
        <v>39.8</v>
      </c>
      <c r="EX84" s="142">
        <v>0</v>
      </c>
      <c r="EY84" s="142">
        <v>0</v>
      </c>
      <c r="EZ84" s="142">
        <v>0</v>
      </c>
      <c r="FA84" s="142">
        <v>4.8</v>
      </c>
      <c r="FB84" s="142">
        <v>49.4</v>
      </c>
      <c r="FC84" s="92">
        <f t="shared" si="188"/>
        <v>8924.219028973184</v>
      </c>
      <c r="FE84" s="142">
        <v>611</v>
      </c>
      <c r="FF84" s="167">
        <f t="shared" si="196"/>
        <v>354.48</v>
      </c>
      <c r="FG84" s="167">
        <f t="shared" si="197"/>
        <v>9.36</v>
      </c>
      <c r="FH84" s="167">
        <f t="shared" si="199"/>
        <v>65.184</v>
      </c>
      <c r="FI84" s="167">
        <v>8</v>
      </c>
      <c r="FJ84" s="167">
        <v>6</v>
      </c>
      <c r="FK84" s="142">
        <v>1</v>
      </c>
      <c r="FL84" s="142">
        <f t="shared" si="198"/>
        <v>29.45789672255658</v>
      </c>
      <c r="FM84" s="142">
        <f>POWER(FL84,1)*275</f>
        <v>8100.921598703059</v>
      </c>
    </row>
    <row r="85" spans="1:169" s="17" customFormat="1" ht="17.25">
      <c r="A85" s="105">
        <v>78</v>
      </c>
      <c r="B85" s="72" t="s">
        <v>104</v>
      </c>
      <c r="C85" s="75">
        <v>1</v>
      </c>
      <c r="D85" s="72">
        <v>3</v>
      </c>
      <c r="E85" s="75">
        <v>575</v>
      </c>
      <c r="F85" s="75">
        <v>2000</v>
      </c>
      <c r="G85" s="75">
        <v>1240</v>
      </c>
      <c r="H85" s="72">
        <v>448</v>
      </c>
      <c r="I85" s="72">
        <v>72</v>
      </c>
      <c r="J85" s="72">
        <v>72</v>
      </c>
      <c r="K85" s="72">
        <v>28</v>
      </c>
      <c r="L85" s="106" t="s">
        <v>30</v>
      </c>
      <c r="M85" s="72">
        <f t="shared" si="205"/>
        <v>216</v>
      </c>
      <c r="N85" s="106" t="s">
        <v>30</v>
      </c>
      <c r="O85" s="72" t="s">
        <v>21</v>
      </c>
      <c r="P85" s="77">
        <f t="shared" si="135"/>
        <v>419.2845256816277</v>
      </c>
      <c r="Q85" s="78">
        <f t="shared" si="200"/>
        <v>7333.996862016064</v>
      </c>
      <c r="R85" s="78">
        <f t="shared" si="191"/>
        <v>6477.038784839994</v>
      </c>
      <c r="S85" s="79">
        <v>896</v>
      </c>
      <c r="T85" s="90">
        <v>38</v>
      </c>
      <c r="U85" s="90">
        <v>165</v>
      </c>
      <c r="V85" s="72" t="s">
        <v>37</v>
      </c>
      <c r="W85" s="72" t="s">
        <v>38</v>
      </c>
      <c r="X85" s="16" t="s">
        <v>39</v>
      </c>
      <c r="Y85" s="72" t="s">
        <v>40</v>
      </c>
      <c r="Z85" s="81">
        <v>10.5</v>
      </c>
      <c r="AA85" s="124" t="s">
        <v>559</v>
      </c>
      <c r="AB85" s="72">
        <v>10</v>
      </c>
      <c r="AC85" s="82">
        <v>3</v>
      </c>
      <c r="AD85" s="83">
        <v>470</v>
      </c>
      <c r="AE85" s="84">
        <f t="shared" si="201"/>
        <v>1400</v>
      </c>
      <c r="AF85" s="85">
        <v>55</v>
      </c>
      <c r="AG85" s="16" t="s">
        <v>473</v>
      </c>
      <c r="AH85" s="73"/>
      <c r="AI85" s="73">
        <f t="shared" si="136"/>
        <v>41.4</v>
      </c>
      <c r="AJ85" s="73">
        <f t="shared" si="137"/>
        <v>41.4</v>
      </c>
      <c r="AK85" s="73">
        <f t="shared" si="138"/>
        <v>16.1</v>
      </c>
      <c r="AL85" s="73">
        <f t="shared" si="139"/>
        <v>89.28</v>
      </c>
      <c r="AM85" s="92">
        <f t="shared" si="189"/>
        <v>112</v>
      </c>
      <c r="AN85" s="92">
        <f t="shared" si="206"/>
        <v>1</v>
      </c>
      <c r="AO85" s="73">
        <v>2</v>
      </c>
      <c r="AP85" s="73">
        <v>1</v>
      </c>
      <c r="AQ85" s="73">
        <v>1</v>
      </c>
      <c r="AR85" s="87">
        <v>5</v>
      </c>
      <c r="AS85" s="87">
        <v>5</v>
      </c>
      <c r="AT85" s="73">
        <v>1</v>
      </c>
      <c r="AU85" s="73">
        <v>1.3</v>
      </c>
      <c r="AV85" s="73">
        <v>1</v>
      </c>
      <c r="AW85" s="73">
        <f t="shared" si="141"/>
        <v>41.4</v>
      </c>
      <c r="AX85" s="73">
        <f t="shared" si="142"/>
        <v>32.807547169811315</v>
      </c>
      <c r="AY85" s="73">
        <f t="shared" si="143"/>
        <v>69.37669330187163</v>
      </c>
      <c r="AZ85" s="73">
        <f t="shared" si="144"/>
        <v>88.38944852445341</v>
      </c>
      <c r="BA85" s="73"/>
      <c r="BB85" s="73">
        <v>0.02</v>
      </c>
      <c r="BC85" s="73">
        <f t="shared" si="146"/>
        <v>86.62165955396435</v>
      </c>
      <c r="BD85" s="73">
        <v>4.840412061378459</v>
      </c>
      <c r="BE85" s="87">
        <v>5.7504095289176105</v>
      </c>
      <c r="BF85" s="73"/>
      <c r="BG85" s="73"/>
      <c r="BH85" s="92">
        <v>548</v>
      </c>
      <c r="BI85" s="92">
        <f t="shared" si="147"/>
        <v>322</v>
      </c>
      <c r="BJ85" s="92">
        <f t="shared" si="148"/>
        <v>7.44</v>
      </c>
      <c r="BK85" s="87">
        <f t="shared" si="149"/>
        <v>56</v>
      </c>
      <c r="BL85" s="87">
        <v>8</v>
      </c>
      <c r="BM85" s="87">
        <v>6</v>
      </c>
      <c r="BN85" s="87">
        <v>1</v>
      </c>
      <c r="BO85" s="93">
        <f t="shared" si="150"/>
        <v>23.55286830850907</v>
      </c>
      <c r="BP85" s="92">
        <f t="shared" si="151"/>
        <v>5761.836216719201</v>
      </c>
      <c r="BQ85" s="73"/>
      <c r="BR85" s="92">
        <v>375</v>
      </c>
      <c r="BS85" s="92">
        <f t="shared" si="152"/>
        <v>322</v>
      </c>
      <c r="BT85" s="92">
        <f t="shared" si="153"/>
        <v>7.44</v>
      </c>
      <c r="BU85" s="92">
        <f t="shared" si="154"/>
        <v>56</v>
      </c>
      <c r="BV85" s="92">
        <v>8</v>
      </c>
      <c r="BW85" s="92">
        <v>6</v>
      </c>
      <c r="BX85" s="92">
        <v>1</v>
      </c>
      <c r="BY85" s="93">
        <f t="shared" si="155"/>
        <v>23.55286830850907</v>
      </c>
      <c r="BZ85" s="73">
        <f t="shared" si="156"/>
        <v>6617.917725459981</v>
      </c>
      <c r="CA85" s="73"/>
      <c r="CB85" s="92">
        <v>783</v>
      </c>
      <c r="CC85" s="92">
        <f t="shared" si="157"/>
        <v>322</v>
      </c>
      <c r="CD85" s="92">
        <f t="shared" si="158"/>
        <v>7.44</v>
      </c>
      <c r="CE85" s="92">
        <f t="shared" si="159"/>
        <v>56</v>
      </c>
      <c r="CF85" s="92">
        <v>8</v>
      </c>
      <c r="CG85" s="92">
        <v>6</v>
      </c>
      <c r="CH85" s="92">
        <v>4</v>
      </c>
      <c r="CI85" s="93">
        <f t="shared" si="160"/>
        <v>22.155143713239376</v>
      </c>
      <c r="CJ85" s="73">
        <f t="shared" si="161"/>
        <v>7760.139971446554</v>
      </c>
      <c r="CK85" s="73"/>
      <c r="CL85" s="92">
        <v>353</v>
      </c>
      <c r="CM85" s="92">
        <f t="shared" si="162"/>
        <v>322</v>
      </c>
      <c r="CN85" s="92">
        <f t="shared" si="163"/>
        <v>7.44</v>
      </c>
      <c r="CO85" s="92">
        <f t="shared" si="164"/>
        <v>56</v>
      </c>
      <c r="CP85" s="92">
        <v>8</v>
      </c>
      <c r="CQ85" s="92">
        <v>6</v>
      </c>
      <c r="CR85" s="92">
        <v>1</v>
      </c>
      <c r="CS85" s="93">
        <f t="shared" si="165"/>
        <v>23.55286830850907</v>
      </c>
      <c r="CT85" s="73">
        <f t="shared" si="202"/>
        <v>7819.4346449245695</v>
      </c>
      <c r="CU85" s="73"/>
      <c r="CV85" s="92">
        <v>472</v>
      </c>
      <c r="CW85" s="92">
        <f t="shared" si="167"/>
        <v>322</v>
      </c>
      <c r="CX85" s="92">
        <f t="shared" si="168"/>
        <v>7.44</v>
      </c>
      <c r="CY85" s="92">
        <f t="shared" si="192"/>
        <v>56</v>
      </c>
      <c r="CZ85" s="92">
        <v>8</v>
      </c>
      <c r="DA85" s="92">
        <v>6</v>
      </c>
      <c r="DB85" s="92">
        <v>1</v>
      </c>
      <c r="DC85" s="93">
        <f t="shared" si="169"/>
        <v>23.55286830850907</v>
      </c>
      <c r="DD85" s="73">
        <f t="shared" si="203"/>
        <v>6625.216771997077</v>
      </c>
      <c r="DE85" s="73"/>
      <c r="DF85" s="73">
        <v>1888</v>
      </c>
      <c r="DG85" s="73">
        <f t="shared" si="171"/>
        <v>322</v>
      </c>
      <c r="DH85" s="73">
        <f t="shared" si="172"/>
        <v>7.44</v>
      </c>
      <c r="DI85" s="73">
        <f t="shared" si="173"/>
        <v>56</v>
      </c>
      <c r="DJ85" s="92">
        <v>8</v>
      </c>
      <c r="DK85" s="92">
        <v>6</v>
      </c>
      <c r="DL85" s="92">
        <v>1</v>
      </c>
      <c r="DM85" s="93">
        <f t="shared" si="174"/>
        <v>23.55286830850907</v>
      </c>
      <c r="DN85" s="73">
        <f t="shared" si="204"/>
        <v>6722.646430408799</v>
      </c>
      <c r="DO85" s="73"/>
      <c r="DP85" s="92">
        <v>445</v>
      </c>
      <c r="DQ85" s="73">
        <f t="shared" si="176"/>
        <v>322</v>
      </c>
      <c r="DR85" s="92">
        <f t="shared" si="177"/>
        <v>12.813333333333333</v>
      </c>
      <c r="DS85" s="73">
        <f t="shared" si="178"/>
        <v>56</v>
      </c>
      <c r="DT85" s="92">
        <v>8</v>
      </c>
      <c r="DU85" s="92">
        <v>6</v>
      </c>
      <c r="DV85" s="92">
        <v>1</v>
      </c>
      <c r="DW85" s="93">
        <f t="shared" si="179"/>
        <v>39.14169387545358</v>
      </c>
      <c r="DX85" s="92">
        <f t="shared" si="180"/>
        <v>5254.131666653875</v>
      </c>
      <c r="DY85" s="73"/>
      <c r="DZ85" s="73">
        <v>587</v>
      </c>
      <c r="EA85" s="92">
        <f t="shared" si="181"/>
        <v>322</v>
      </c>
      <c r="EB85" s="92">
        <f t="shared" si="182"/>
        <v>7.44</v>
      </c>
      <c r="EC85" s="92">
        <f t="shared" si="183"/>
        <v>56</v>
      </c>
      <c r="ED85" s="92">
        <v>8</v>
      </c>
      <c r="EE85" s="92">
        <v>6</v>
      </c>
      <c r="EF85" s="92">
        <v>1</v>
      </c>
      <c r="EG85" s="93">
        <f t="shared" si="184"/>
        <v>23.55286830850907</v>
      </c>
      <c r="EH85" s="92">
        <f t="shared" si="185"/>
        <v>7723.3199293123325</v>
      </c>
      <c r="EI85" s="73"/>
      <c r="EJ85" s="92">
        <v>450</v>
      </c>
      <c r="EK85" s="73">
        <f t="shared" si="193"/>
        <v>13.416666666666666</v>
      </c>
      <c r="EL85" s="73">
        <f t="shared" si="194"/>
        <v>7.44</v>
      </c>
      <c r="EM85" s="73">
        <f t="shared" si="195"/>
        <v>22.4</v>
      </c>
      <c r="EN85" s="92">
        <v>8</v>
      </c>
      <c r="EO85" s="92">
        <v>6</v>
      </c>
      <c r="EP85" s="92">
        <v>1</v>
      </c>
      <c r="EQ85" s="93">
        <f t="shared" si="186"/>
        <v>13.818188110502591</v>
      </c>
      <c r="ER85" s="73">
        <f t="shared" si="187"/>
        <v>7090.651968392146</v>
      </c>
      <c r="ES85" s="73"/>
      <c r="ET85" s="142">
        <v>0</v>
      </c>
      <c r="EU85" s="142">
        <v>0</v>
      </c>
      <c r="EV85" s="142">
        <v>6</v>
      </c>
      <c r="EW85" s="142">
        <v>39.8</v>
      </c>
      <c r="EX85" s="142">
        <v>0</v>
      </c>
      <c r="EY85" s="142">
        <v>0</v>
      </c>
      <c r="EZ85" s="142">
        <v>0</v>
      </c>
      <c r="FA85" s="142">
        <v>4.8</v>
      </c>
      <c r="FB85" s="142">
        <v>49.4</v>
      </c>
      <c r="FC85" s="92">
        <f t="shared" si="188"/>
        <v>7333.996862016064</v>
      </c>
      <c r="FE85" s="142">
        <v>611</v>
      </c>
      <c r="FF85" s="167">
        <f t="shared" si="196"/>
        <v>322</v>
      </c>
      <c r="FG85" s="167">
        <f t="shared" si="197"/>
        <v>7.44</v>
      </c>
      <c r="FH85" s="167">
        <f t="shared" si="199"/>
        <v>56</v>
      </c>
      <c r="FI85" s="167">
        <v>8</v>
      </c>
      <c r="FJ85" s="167">
        <v>6</v>
      </c>
      <c r="FK85" s="142">
        <v>1</v>
      </c>
      <c r="FL85" s="142">
        <f t="shared" si="198"/>
        <v>23.55286830850907</v>
      </c>
      <c r="FM85" s="142">
        <f>POWER(FL85,1)*275</f>
        <v>6477.038784839994</v>
      </c>
    </row>
    <row r="86" spans="1:169" s="17" customFormat="1" ht="17.25">
      <c r="A86" s="105">
        <v>79</v>
      </c>
      <c r="B86" s="72" t="s">
        <v>60</v>
      </c>
      <c r="C86" s="75">
        <v>1</v>
      </c>
      <c r="D86" s="72">
        <v>3</v>
      </c>
      <c r="E86" s="75">
        <v>575</v>
      </c>
      <c r="F86" s="75">
        <v>2000</v>
      </c>
      <c r="G86" s="75">
        <v>1240</v>
      </c>
      <c r="H86" s="72">
        <v>448</v>
      </c>
      <c r="I86" s="72">
        <v>72</v>
      </c>
      <c r="J86" s="72">
        <v>72</v>
      </c>
      <c r="K86" s="72">
        <v>28</v>
      </c>
      <c r="L86" s="106" t="s">
        <v>30</v>
      </c>
      <c r="M86" s="72">
        <f t="shared" si="205"/>
        <v>216</v>
      </c>
      <c r="N86" s="106" t="s">
        <v>30</v>
      </c>
      <c r="O86" s="72" t="s">
        <v>21</v>
      </c>
      <c r="P86" s="77">
        <f t="shared" si="135"/>
        <v>419.2845256816277</v>
      </c>
      <c r="Q86" s="78">
        <f t="shared" si="200"/>
        <v>7333.996862016064</v>
      </c>
      <c r="R86" s="78">
        <f t="shared" si="191"/>
        <v>6477.038784839994</v>
      </c>
      <c r="S86" s="79">
        <v>896</v>
      </c>
      <c r="T86" s="90">
        <v>42</v>
      </c>
      <c r="U86" s="90">
        <v>170</v>
      </c>
      <c r="V86" s="72" t="s">
        <v>37</v>
      </c>
      <c r="W86" s="72" t="s">
        <v>38</v>
      </c>
      <c r="X86" s="16" t="s">
        <v>39</v>
      </c>
      <c r="Y86" s="72" t="s">
        <v>40</v>
      </c>
      <c r="Z86" s="81">
        <v>10.5</v>
      </c>
      <c r="AA86" s="124" t="s">
        <v>559</v>
      </c>
      <c r="AB86" s="72">
        <v>10</v>
      </c>
      <c r="AC86" s="82">
        <v>3</v>
      </c>
      <c r="AD86" s="83">
        <v>576</v>
      </c>
      <c r="AE86" s="84">
        <f t="shared" si="201"/>
        <v>1400</v>
      </c>
      <c r="AF86" s="85">
        <v>65</v>
      </c>
      <c r="AG86" s="72"/>
      <c r="AH86" s="73"/>
      <c r="AI86" s="73">
        <f t="shared" si="136"/>
        <v>41.4</v>
      </c>
      <c r="AJ86" s="73">
        <f t="shared" si="137"/>
        <v>41.4</v>
      </c>
      <c r="AK86" s="73">
        <f t="shared" si="138"/>
        <v>16.1</v>
      </c>
      <c r="AL86" s="73">
        <f t="shared" si="139"/>
        <v>89.28</v>
      </c>
      <c r="AM86" s="92">
        <f t="shared" si="189"/>
        <v>112</v>
      </c>
      <c r="AN86" s="92">
        <f t="shared" si="206"/>
        <v>1</v>
      </c>
      <c r="AO86" s="73">
        <v>2</v>
      </c>
      <c r="AP86" s="73">
        <v>1</v>
      </c>
      <c r="AQ86" s="73">
        <v>1</v>
      </c>
      <c r="AR86" s="87">
        <v>5</v>
      </c>
      <c r="AS86" s="87">
        <v>5</v>
      </c>
      <c r="AT86" s="73">
        <v>1</v>
      </c>
      <c r="AU86" s="73">
        <v>1.3</v>
      </c>
      <c r="AV86" s="73">
        <v>1</v>
      </c>
      <c r="AW86" s="73">
        <f t="shared" si="141"/>
        <v>41.4</v>
      </c>
      <c r="AX86" s="73">
        <f t="shared" si="142"/>
        <v>32.807547169811315</v>
      </c>
      <c r="AY86" s="73">
        <f t="shared" si="143"/>
        <v>69.37669330187163</v>
      </c>
      <c r="AZ86" s="73">
        <f t="shared" si="144"/>
        <v>88.38944852445341</v>
      </c>
      <c r="BA86" s="73"/>
      <c r="BB86" s="73">
        <v>0.02</v>
      </c>
      <c r="BC86" s="73">
        <f t="shared" si="146"/>
        <v>86.62165955396435</v>
      </c>
      <c r="BD86" s="73">
        <v>4.840412061378459</v>
      </c>
      <c r="BE86" s="87">
        <v>5.7504095289176105</v>
      </c>
      <c r="BF86" s="73"/>
      <c r="BG86" s="73"/>
      <c r="BH86" s="92">
        <v>548</v>
      </c>
      <c r="BI86" s="92">
        <f t="shared" si="147"/>
        <v>322</v>
      </c>
      <c r="BJ86" s="92">
        <f t="shared" si="148"/>
        <v>7.44</v>
      </c>
      <c r="BK86" s="87">
        <f t="shared" si="149"/>
        <v>56</v>
      </c>
      <c r="BL86" s="87">
        <v>8</v>
      </c>
      <c r="BM86" s="87">
        <v>6</v>
      </c>
      <c r="BN86" s="87">
        <v>1</v>
      </c>
      <c r="BO86" s="93">
        <f t="shared" si="150"/>
        <v>23.55286830850907</v>
      </c>
      <c r="BP86" s="92">
        <f t="shared" si="151"/>
        <v>5761.836216719201</v>
      </c>
      <c r="BQ86" s="73"/>
      <c r="BR86" s="92">
        <v>375</v>
      </c>
      <c r="BS86" s="92">
        <f t="shared" si="152"/>
        <v>322</v>
      </c>
      <c r="BT86" s="92">
        <f t="shared" si="153"/>
        <v>7.44</v>
      </c>
      <c r="BU86" s="92">
        <f t="shared" si="154"/>
        <v>56</v>
      </c>
      <c r="BV86" s="92">
        <v>8</v>
      </c>
      <c r="BW86" s="92">
        <v>6</v>
      </c>
      <c r="BX86" s="92">
        <v>1</v>
      </c>
      <c r="BY86" s="93">
        <f t="shared" si="155"/>
        <v>23.55286830850907</v>
      </c>
      <c r="BZ86" s="73">
        <f t="shared" si="156"/>
        <v>6617.917725459981</v>
      </c>
      <c r="CA86" s="73"/>
      <c r="CB86" s="92">
        <v>783</v>
      </c>
      <c r="CC86" s="92">
        <f t="shared" si="157"/>
        <v>322</v>
      </c>
      <c r="CD86" s="92">
        <f t="shared" si="158"/>
        <v>7.44</v>
      </c>
      <c r="CE86" s="92">
        <f t="shared" si="159"/>
        <v>56</v>
      </c>
      <c r="CF86" s="92">
        <v>8</v>
      </c>
      <c r="CG86" s="92">
        <v>6</v>
      </c>
      <c r="CH86" s="92">
        <v>4</v>
      </c>
      <c r="CI86" s="93">
        <f t="shared" si="160"/>
        <v>22.155143713239376</v>
      </c>
      <c r="CJ86" s="73">
        <f t="shared" si="161"/>
        <v>7760.139971446554</v>
      </c>
      <c r="CK86" s="73"/>
      <c r="CL86" s="92">
        <v>353</v>
      </c>
      <c r="CM86" s="92">
        <f t="shared" si="162"/>
        <v>322</v>
      </c>
      <c r="CN86" s="92">
        <f t="shared" si="163"/>
        <v>7.44</v>
      </c>
      <c r="CO86" s="92">
        <f t="shared" si="164"/>
        <v>56</v>
      </c>
      <c r="CP86" s="92">
        <v>8</v>
      </c>
      <c r="CQ86" s="92">
        <v>6</v>
      </c>
      <c r="CR86" s="92">
        <v>1</v>
      </c>
      <c r="CS86" s="93">
        <f t="shared" si="165"/>
        <v>23.55286830850907</v>
      </c>
      <c r="CT86" s="73">
        <f t="shared" si="202"/>
        <v>7819.4346449245695</v>
      </c>
      <c r="CU86" s="73"/>
      <c r="CV86" s="92">
        <v>472</v>
      </c>
      <c r="CW86" s="92">
        <f t="shared" si="167"/>
        <v>322</v>
      </c>
      <c r="CX86" s="92">
        <f t="shared" si="168"/>
        <v>7.44</v>
      </c>
      <c r="CY86" s="92">
        <f t="shared" si="192"/>
        <v>56</v>
      </c>
      <c r="CZ86" s="92">
        <v>8</v>
      </c>
      <c r="DA86" s="92">
        <v>6</v>
      </c>
      <c r="DB86" s="92">
        <v>1</v>
      </c>
      <c r="DC86" s="93">
        <f t="shared" si="169"/>
        <v>23.55286830850907</v>
      </c>
      <c r="DD86" s="73">
        <f t="shared" si="203"/>
        <v>6625.216771997077</v>
      </c>
      <c r="DE86" s="73"/>
      <c r="DF86" s="73">
        <v>1888</v>
      </c>
      <c r="DG86" s="73">
        <f t="shared" si="171"/>
        <v>322</v>
      </c>
      <c r="DH86" s="73">
        <f t="shared" si="172"/>
        <v>7.44</v>
      </c>
      <c r="DI86" s="73">
        <f t="shared" si="173"/>
        <v>56</v>
      </c>
      <c r="DJ86" s="92">
        <v>8</v>
      </c>
      <c r="DK86" s="92">
        <v>6</v>
      </c>
      <c r="DL86" s="92">
        <v>1</v>
      </c>
      <c r="DM86" s="93">
        <f t="shared" si="174"/>
        <v>23.55286830850907</v>
      </c>
      <c r="DN86" s="73">
        <f t="shared" si="204"/>
        <v>6722.646430408799</v>
      </c>
      <c r="DO86" s="73"/>
      <c r="DP86" s="92">
        <v>445</v>
      </c>
      <c r="DQ86" s="73">
        <f t="shared" si="176"/>
        <v>322</v>
      </c>
      <c r="DR86" s="92">
        <f t="shared" si="177"/>
        <v>12.813333333333333</v>
      </c>
      <c r="DS86" s="73">
        <f t="shared" si="178"/>
        <v>56</v>
      </c>
      <c r="DT86" s="92">
        <v>8</v>
      </c>
      <c r="DU86" s="92">
        <v>6</v>
      </c>
      <c r="DV86" s="92">
        <v>1</v>
      </c>
      <c r="DW86" s="93">
        <f t="shared" si="179"/>
        <v>39.14169387545358</v>
      </c>
      <c r="DX86" s="92">
        <f t="shared" si="180"/>
        <v>5254.131666653875</v>
      </c>
      <c r="DY86" s="73"/>
      <c r="DZ86" s="73">
        <v>587</v>
      </c>
      <c r="EA86" s="92">
        <f t="shared" si="181"/>
        <v>322</v>
      </c>
      <c r="EB86" s="92">
        <f t="shared" si="182"/>
        <v>7.44</v>
      </c>
      <c r="EC86" s="92">
        <f t="shared" si="183"/>
        <v>56</v>
      </c>
      <c r="ED86" s="92">
        <v>8</v>
      </c>
      <c r="EE86" s="92">
        <v>6</v>
      </c>
      <c r="EF86" s="92">
        <v>1</v>
      </c>
      <c r="EG86" s="93">
        <f t="shared" si="184"/>
        <v>23.55286830850907</v>
      </c>
      <c r="EH86" s="92">
        <f t="shared" si="185"/>
        <v>7723.3199293123325</v>
      </c>
      <c r="EI86" s="73"/>
      <c r="EJ86" s="92">
        <v>450</v>
      </c>
      <c r="EK86" s="73">
        <f t="shared" si="193"/>
        <v>13.416666666666666</v>
      </c>
      <c r="EL86" s="73">
        <f t="shared" si="194"/>
        <v>7.44</v>
      </c>
      <c r="EM86" s="73">
        <f t="shared" si="195"/>
        <v>22.4</v>
      </c>
      <c r="EN86" s="92">
        <v>8</v>
      </c>
      <c r="EO86" s="92">
        <v>6</v>
      </c>
      <c r="EP86" s="92">
        <v>1</v>
      </c>
      <c r="EQ86" s="93">
        <f t="shared" si="186"/>
        <v>13.818188110502591</v>
      </c>
      <c r="ER86" s="73">
        <f t="shared" si="187"/>
        <v>7090.651968392146</v>
      </c>
      <c r="ES86" s="73"/>
      <c r="ET86" s="142">
        <v>0</v>
      </c>
      <c r="EU86" s="142">
        <v>0</v>
      </c>
      <c r="EV86" s="142">
        <v>6</v>
      </c>
      <c r="EW86" s="142">
        <v>39.8</v>
      </c>
      <c r="EX86" s="142">
        <v>0</v>
      </c>
      <c r="EY86" s="142">
        <v>0</v>
      </c>
      <c r="EZ86" s="142">
        <v>0</v>
      </c>
      <c r="FA86" s="142">
        <v>4.8</v>
      </c>
      <c r="FB86" s="142">
        <v>49.4</v>
      </c>
      <c r="FC86" s="92">
        <f t="shared" si="188"/>
        <v>7333.996862016064</v>
      </c>
      <c r="FE86" s="142">
        <v>611</v>
      </c>
      <c r="FF86" s="167">
        <f t="shared" si="196"/>
        <v>322</v>
      </c>
      <c r="FG86" s="167">
        <f t="shared" si="197"/>
        <v>7.44</v>
      </c>
      <c r="FH86" s="167">
        <f t="shared" si="199"/>
        <v>56</v>
      </c>
      <c r="FI86" s="167">
        <v>8</v>
      </c>
      <c r="FJ86" s="167">
        <v>6</v>
      </c>
      <c r="FK86" s="142">
        <v>1</v>
      </c>
      <c r="FL86" s="142">
        <f t="shared" si="198"/>
        <v>23.55286830850907</v>
      </c>
      <c r="FM86" s="142">
        <f>POWER(FL86,1)*275</f>
        <v>6477.038784839994</v>
      </c>
    </row>
    <row r="87" spans="1:169" s="17" customFormat="1" ht="17.25">
      <c r="A87" s="105">
        <v>80</v>
      </c>
      <c r="B87" s="72" t="s">
        <v>32</v>
      </c>
      <c r="C87" s="75">
        <v>1</v>
      </c>
      <c r="D87" s="72">
        <v>3</v>
      </c>
      <c r="E87" s="75">
        <v>575</v>
      </c>
      <c r="F87" s="75">
        <v>2000</v>
      </c>
      <c r="G87" s="75">
        <v>1240</v>
      </c>
      <c r="H87" s="72">
        <v>448</v>
      </c>
      <c r="I87" s="72">
        <v>64</v>
      </c>
      <c r="J87" s="72">
        <v>64</v>
      </c>
      <c r="K87" s="72">
        <v>28</v>
      </c>
      <c r="L87" s="106" t="s">
        <v>30</v>
      </c>
      <c r="M87" s="94">
        <f t="shared" si="205"/>
        <v>192</v>
      </c>
      <c r="N87" s="106" t="s">
        <v>30</v>
      </c>
      <c r="O87" s="72" t="s">
        <v>21</v>
      </c>
      <c r="P87" s="77">
        <f t="shared" si="135"/>
        <v>395.19583054701155</v>
      </c>
      <c r="Q87" s="78">
        <f t="shared" si="200"/>
        <v>6712.398931367207</v>
      </c>
      <c r="R87" s="78">
        <f t="shared" si="191"/>
        <v>5789.717901397311</v>
      </c>
      <c r="S87" s="79">
        <v>896</v>
      </c>
      <c r="T87" s="90">
        <v>40</v>
      </c>
      <c r="U87" s="90">
        <v>165</v>
      </c>
      <c r="V87" s="72" t="s">
        <v>37</v>
      </c>
      <c r="W87" s="94" t="s">
        <v>38</v>
      </c>
      <c r="X87" s="14" t="s">
        <v>39</v>
      </c>
      <c r="Y87" s="72" t="s">
        <v>40</v>
      </c>
      <c r="Z87" s="81">
        <v>10.5</v>
      </c>
      <c r="AA87" s="124" t="s">
        <v>559</v>
      </c>
      <c r="AB87" s="72">
        <v>10</v>
      </c>
      <c r="AC87" s="82">
        <v>3</v>
      </c>
      <c r="AD87" s="83">
        <v>576</v>
      </c>
      <c r="AE87" s="84">
        <f t="shared" si="201"/>
        <v>1400</v>
      </c>
      <c r="AF87" s="85">
        <v>65</v>
      </c>
      <c r="AG87" s="72"/>
      <c r="AH87" s="73"/>
      <c r="AI87" s="73">
        <f t="shared" si="136"/>
        <v>36.8</v>
      </c>
      <c r="AJ87" s="73">
        <f t="shared" si="137"/>
        <v>36.8</v>
      </c>
      <c r="AK87" s="73">
        <f t="shared" si="138"/>
        <v>16.1</v>
      </c>
      <c r="AL87" s="73">
        <f t="shared" si="139"/>
        <v>79.36</v>
      </c>
      <c r="AM87" s="92">
        <f t="shared" si="189"/>
        <v>112</v>
      </c>
      <c r="AN87" s="92">
        <f t="shared" si="206"/>
        <v>1</v>
      </c>
      <c r="AO87" s="73">
        <v>2</v>
      </c>
      <c r="AP87" s="73">
        <v>1</v>
      </c>
      <c r="AQ87" s="73">
        <v>1</v>
      </c>
      <c r="AR87" s="87">
        <v>5</v>
      </c>
      <c r="AS87" s="87">
        <v>5</v>
      </c>
      <c r="AT87" s="73">
        <v>1</v>
      </c>
      <c r="AU87" s="73">
        <v>1.3</v>
      </c>
      <c r="AV87" s="73">
        <v>1</v>
      </c>
      <c r="AW87" s="73">
        <f t="shared" si="141"/>
        <v>36.8</v>
      </c>
      <c r="AX87" s="73">
        <f t="shared" si="142"/>
        <v>30.30588235294118</v>
      </c>
      <c r="AY87" s="73">
        <f t="shared" si="143"/>
        <v>62.499396706342736</v>
      </c>
      <c r="AZ87" s="73">
        <f t="shared" si="144"/>
        <v>83.31130624109345</v>
      </c>
      <c r="BA87" s="73"/>
      <c r="BB87" s="73">
        <v>0.02</v>
      </c>
      <c r="BC87" s="73">
        <f t="shared" si="146"/>
        <v>81.64508011627157</v>
      </c>
      <c r="BD87" s="73">
        <v>4.840412061378459</v>
      </c>
      <c r="BE87" s="87">
        <v>5.7504095289176105</v>
      </c>
      <c r="BF87" s="73"/>
      <c r="BG87" s="73"/>
      <c r="BH87" s="92">
        <v>548</v>
      </c>
      <c r="BI87" s="92">
        <f t="shared" si="147"/>
        <v>322</v>
      </c>
      <c r="BJ87" s="92">
        <f t="shared" si="148"/>
        <v>6.613333333333333</v>
      </c>
      <c r="BK87" s="87">
        <f t="shared" si="149"/>
        <v>56</v>
      </c>
      <c r="BL87" s="87">
        <v>8</v>
      </c>
      <c r="BM87" s="87">
        <v>6</v>
      </c>
      <c r="BN87" s="87">
        <v>1</v>
      </c>
      <c r="BO87" s="93">
        <f t="shared" si="150"/>
        <v>21.053519641444765</v>
      </c>
      <c r="BP87" s="92">
        <f t="shared" si="151"/>
        <v>5104.395152469981</v>
      </c>
      <c r="BQ87" s="73"/>
      <c r="BR87" s="92">
        <v>375</v>
      </c>
      <c r="BS87" s="92">
        <f t="shared" si="152"/>
        <v>322</v>
      </c>
      <c r="BT87" s="92">
        <f t="shared" si="153"/>
        <v>6.613333333333333</v>
      </c>
      <c r="BU87" s="92">
        <f t="shared" si="154"/>
        <v>56</v>
      </c>
      <c r="BV87" s="92">
        <v>8</v>
      </c>
      <c r="BW87" s="92">
        <v>6</v>
      </c>
      <c r="BX87" s="92">
        <v>1</v>
      </c>
      <c r="BY87" s="93">
        <f t="shared" si="155"/>
        <v>21.053519641444765</v>
      </c>
      <c r="BZ87" s="73">
        <f t="shared" si="156"/>
        <v>5922.287146023501</v>
      </c>
      <c r="CA87" s="73"/>
      <c r="CB87" s="92">
        <v>783</v>
      </c>
      <c r="CC87" s="92">
        <f t="shared" si="157"/>
        <v>322</v>
      </c>
      <c r="CD87" s="92">
        <f t="shared" si="158"/>
        <v>6.613333333333333</v>
      </c>
      <c r="CE87" s="92">
        <f t="shared" si="159"/>
        <v>56</v>
      </c>
      <c r="CF87" s="92">
        <v>8</v>
      </c>
      <c r="CG87" s="92">
        <v>6</v>
      </c>
      <c r="CH87" s="92">
        <v>4</v>
      </c>
      <c r="CI87" s="93">
        <f t="shared" si="160"/>
        <v>19.929621403079686</v>
      </c>
      <c r="CJ87" s="73">
        <f t="shared" si="161"/>
        <v>6943.768858312536</v>
      </c>
      <c r="CK87" s="73"/>
      <c r="CL87" s="92">
        <v>353</v>
      </c>
      <c r="CM87" s="92">
        <f t="shared" si="162"/>
        <v>322</v>
      </c>
      <c r="CN87" s="92">
        <f t="shared" si="163"/>
        <v>6.613333333333333</v>
      </c>
      <c r="CO87" s="92">
        <f t="shared" si="164"/>
        <v>56</v>
      </c>
      <c r="CP87" s="92">
        <v>8</v>
      </c>
      <c r="CQ87" s="92">
        <v>6</v>
      </c>
      <c r="CR87" s="92">
        <v>1</v>
      </c>
      <c r="CS87" s="93">
        <f t="shared" si="165"/>
        <v>21.053519641444765</v>
      </c>
      <c r="CT87" s="73">
        <f t="shared" si="202"/>
        <v>7013.225980492373</v>
      </c>
      <c r="CU87" s="73"/>
      <c r="CV87" s="92">
        <v>472</v>
      </c>
      <c r="CW87" s="92">
        <f t="shared" si="167"/>
        <v>322</v>
      </c>
      <c r="CX87" s="92">
        <f t="shared" si="168"/>
        <v>6.613333333333333</v>
      </c>
      <c r="CY87" s="92">
        <f t="shared" si="192"/>
        <v>56</v>
      </c>
      <c r="CZ87" s="92">
        <v>8</v>
      </c>
      <c r="DA87" s="92">
        <v>6</v>
      </c>
      <c r="DB87" s="92">
        <v>1</v>
      </c>
      <c r="DC87" s="93">
        <f t="shared" si="169"/>
        <v>21.053519641444765</v>
      </c>
      <c r="DD87" s="73">
        <f t="shared" si="203"/>
        <v>5962.167107611705</v>
      </c>
      <c r="DE87" s="73"/>
      <c r="DF87" s="73">
        <v>1888</v>
      </c>
      <c r="DG87" s="73">
        <f t="shared" si="171"/>
        <v>322</v>
      </c>
      <c r="DH87" s="73">
        <f t="shared" si="172"/>
        <v>6.613333333333333</v>
      </c>
      <c r="DI87" s="73">
        <f t="shared" si="173"/>
        <v>56</v>
      </c>
      <c r="DJ87" s="92">
        <v>8</v>
      </c>
      <c r="DK87" s="92">
        <v>6</v>
      </c>
      <c r="DL87" s="92">
        <v>1</v>
      </c>
      <c r="DM87" s="93">
        <f t="shared" si="174"/>
        <v>21.053519641444765</v>
      </c>
      <c r="DN87" s="73">
        <f t="shared" si="204"/>
        <v>6049.846035664819</v>
      </c>
      <c r="DO87" s="73"/>
      <c r="DP87" s="92">
        <v>445</v>
      </c>
      <c r="DQ87" s="73">
        <f t="shared" si="176"/>
        <v>322</v>
      </c>
      <c r="DR87" s="92">
        <f t="shared" si="177"/>
        <v>12.813333333333333</v>
      </c>
      <c r="DS87" s="73">
        <f t="shared" si="178"/>
        <v>56</v>
      </c>
      <c r="DT87" s="92">
        <v>8</v>
      </c>
      <c r="DU87" s="92">
        <v>6</v>
      </c>
      <c r="DV87" s="92">
        <v>1</v>
      </c>
      <c r="DW87" s="93">
        <f t="shared" si="179"/>
        <v>39.14169387545358</v>
      </c>
      <c r="DX87" s="92">
        <f t="shared" si="180"/>
        <v>5254.131666653875</v>
      </c>
      <c r="DY87" s="73"/>
      <c r="DZ87" s="73">
        <v>587</v>
      </c>
      <c r="EA87" s="92">
        <f t="shared" si="181"/>
        <v>322</v>
      </c>
      <c r="EB87" s="92">
        <f t="shared" si="182"/>
        <v>6.613333333333333</v>
      </c>
      <c r="EC87" s="92">
        <f t="shared" si="183"/>
        <v>56</v>
      </c>
      <c r="ED87" s="92">
        <v>8</v>
      </c>
      <c r="EE87" s="92">
        <v>6</v>
      </c>
      <c r="EF87" s="92">
        <v>1</v>
      </c>
      <c r="EG87" s="93">
        <f t="shared" si="184"/>
        <v>21.053519641444765</v>
      </c>
      <c r="EH87" s="92">
        <f t="shared" si="185"/>
        <v>6865.13333667975</v>
      </c>
      <c r="EI87" s="73"/>
      <c r="EJ87" s="92">
        <v>450</v>
      </c>
      <c r="EK87" s="73">
        <f t="shared" si="193"/>
        <v>13.416666666666666</v>
      </c>
      <c r="EL87" s="73">
        <f t="shared" si="194"/>
        <v>6.613333333333333</v>
      </c>
      <c r="EM87" s="73">
        <f t="shared" si="195"/>
        <v>22.4</v>
      </c>
      <c r="EN87" s="92">
        <v>8</v>
      </c>
      <c r="EO87" s="92">
        <v>6</v>
      </c>
      <c r="EP87" s="92">
        <v>1</v>
      </c>
      <c r="EQ87" s="93">
        <f t="shared" si="186"/>
        <v>12.918442785385542</v>
      </c>
      <c r="ER87" s="73">
        <f t="shared" si="187"/>
        <v>6606.678726316364</v>
      </c>
      <c r="ES87" s="73"/>
      <c r="ET87" s="142">
        <v>0</v>
      </c>
      <c r="EU87" s="142">
        <v>0</v>
      </c>
      <c r="EV87" s="142">
        <v>6</v>
      </c>
      <c r="EW87" s="142">
        <v>39.8</v>
      </c>
      <c r="EX87" s="142">
        <v>0</v>
      </c>
      <c r="EY87" s="142">
        <v>0</v>
      </c>
      <c r="EZ87" s="142">
        <v>0</v>
      </c>
      <c r="FA87" s="142">
        <v>4.8</v>
      </c>
      <c r="FB87" s="142">
        <v>49.4</v>
      </c>
      <c r="FC87" s="92">
        <f t="shared" si="188"/>
        <v>6712.398931367207</v>
      </c>
      <c r="FE87" s="142">
        <v>611</v>
      </c>
      <c r="FF87" s="167">
        <f t="shared" si="196"/>
        <v>322</v>
      </c>
      <c r="FG87" s="167">
        <f t="shared" si="197"/>
        <v>6.613333333333333</v>
      </c>
      <c r="FH87" s="167">
        <f t="shared" si="199"/>
        <v>56</v>
      </c>
      <c r="FI87" s="167">
        <v>8</v>
      </c>
      <c r="FJ87" s="167">
        <v>6</v>
      </c>
      <c r="FK87" s="142">
        <v>1</v>
      </c>
      <c r="FL87" s="142">
        <f t="shared" si="198"/>
        <v>21.053519641444765</v>
      </c>
      <c r="FM87" s="142">
        <f>POWER(FL87,1)*275</f>
        <v>5789.717901397311</v>
      </c>
    </row>
    <row r="88" spans="1:169" s="17" customFormat="1" ht="17.25">
      <c r="A88" s="105">
        <v>81</v>
      </c>
      <c r="B88" s="72" t="s">
        <v>283</v>
      </c>
      <c r="C88" s="75">
        <v>1</v>
      </c>
      <c r="D88" s="72">
        <v>3</v>
      </c>
      <c r="E88" s="75">
        <v>738</v>
      </c>
      <c r="F88" s="75">
        <v>2200</v>
      </c>
      <c r="G88" s="75">
        <v>1836</v>
      </c>
      <c r="H88" s="72">
        <v>256</v>
      </c>
      <c r="I88" s="72">
        <f>J88</f>
        <v>64</v>
      </c>
      <c r="J88" s="72">
        <v>64</v>
      </c>
      <c r="K88" s="72">
        <v>16</v>
      </c>
      <c r="L88" s="106" t="s">
        <v>30</v>
      </c>
      <c r="M88" s="94">
        <f>J88*2</f>
        <v>128</v>
      </c>
      <c r="N88" s="106" t="s">
        <v>30</v>
      </c>
      <c r="O88" s="72" t="s">
        <v>21</v>
      </c>
      <c r="P88" s="77">
        <f t="shared" si="135"/>
        <v>317.18845046650694</v>
      </c>
      <c r="Q88" s="78">
        <f t="shared" si="200"/>
        <v>6055.780030975198</v>
      </c>
      <c r="R88" s="78">
        <f t="shared" si="191"/>
        <v>5604.226983475078</v>
      </c>
      <c r="S88" s="79">
        <v>512</v>
      </c>
      <c r="T88" s="90">
        <v>45</v>
      </c>
      <c r="U88" s="90">
        <v>145</v>
      </c>
      <c r="V88" s="72" t="s">
        <v>37</v>
      </c>
      <c r="W88" s="94" t="s">
        <v>474</v>
      </c>
      <c r="X88" s="14" t="s">
        <v>39</v>
      </c>
      <c r="Y88" s="72" t="s">
        <v>40</v>
      </c>
      <c r="Z88" s="81">
        <v>9</v>
      </c>
      <c r="AA88" s="124" t="s">
        <v>559</v>
      </c>
      <c r="AB88" s="72">
        <v>10</v>
      </c>
      <c r="AC88" s="82">
        <v>3</v>
      </c>
      <c r="AD88" s="83">
        <v>296</v>
      </c>
      <c r="AE88" s="84">
        <f>754*C88</f>
        <v>754</v>
      </c>
      <c r="AF88" s="85">
        <v>55</v>
      </c>
      <c r="AG88" s="72"/>
      <c r="AH88" s="73"/>
      <c r="AI88" s="73">
        <f t="shared" si="136"/>
        <v>47.232</v>
      </c>
      <c r="AJ88" s="73">
        <f t="shared" si="137"/>
        <v>47.232</v>
      </c>
      <c r="AK88" s="73">
        <f t="shared" si="138"/>
        <v>11.808</v>
      </c>
      <c r="AL88" s="73">
        <f t="shared" si="139"/>
        <v>78.336</v>
      </c>
      <c r="AM88" s="92">
        <f t="shared" si="189"/>
        <v>70.4</v>
      </c>
      <c r="AN88" s="92">
        <f t="shared" si="206"/>
        <v>1</v>
      </c>
      <c r="AO88" s="73">
        <v>2</v>
      </c>
      <c r="AP88" s="73">
        <v>1</v>
      </c>
      <c r="AQ88" s="73">
        <v>1</v>
      </c>
      <c r="AR88" s="87">
        <v>5</v>
      </c>
      <c r="AS88" s="87">
        <v>5</v>
      </c>
      <c r="AT88" s="73">
        <v>1</v>
      </c>
      <c r="AU88" s="73">
        <v>1.3</v>
      </c>
      <c r="AV88" s="73">
        <v>1</v>
      </c>
      <c r="AW88" s="73">
        <f t="shared" si="141"/>
        <v>47.232000000000006</v>
      </c>
      <c r="AX88" s="73">
        <f t="shared" si="142"/>
        <v>31.488000000000007</v>
      </c>
      <c r="AY88" s="73">
        <f t="shared" si="143"/>
        <v>62.77086644951141</v>
      </c>
      <c r="AZ88" s="73">
        <f t="shared" si="144"/>
        <v>66.86655599674793</v>
      </c>
      <c r="BA88" s="73"/>
      <c r="BB88" s="73">
        <v>0.02</v>
      </c>
      <c r="BC88" s="73">
        <f t="shared" si="146"/>
        <v>65.52922487681298</v>
      </c>
      <c r="BD88" s="73">
        <v>4.840412061378459</v>
      </c>
      <c r="BE88" s="87">
        <v>5.7504095289176105</v>
      </c>
      <c r="BF88" s="73"/>
      <c r="BG88" s="73"/>
      <c r="BH88" s="92">
        <v>548</v>
      </c>
      <c r="BI88" s="92">
        <f t="shared" si="147"/>
        <v>236.16</v>
      </c>
      <c r="BJ88" s="92">
        <f t="shared" si="148"/>
        <v>6.528</v>
      </c>
      <c r="BK88" s="87">
        <f t="shared" si="149"/>
        <v>35.2</v>
      </c>
      <c r="BL88" s="87">
        <v>8</v>
      </c>
      <c r="BM88" s="87">
        <v>6</v>
      </c>
      <c r="BN88" s="87">
        <v>1</v>
      </c>
      <c r="BO88" s="93">
        <f t="shared" si="150"/>
        <v>20.379007212636647</v>
      </c>
      <c r="BP88" s="92">
        <f t="shared" si="151"/>
        <v>4928.006429927857</v>
      </c>
      <c r="BQ88" s="73"/>
      <c r="BR88" s="92">
        <v>375</v>
      </c>
      <c r="BS88" s="92">
        <f t="shared" si="152"/>
        <v>236.16</v>
      </c>
      <c r="BT88" s="92">
        <f t="shared" si="153"/>
        <v>6.528</v>
      </c>
      <c r="BU88" s="92">
        <f t="shared" si="154"/>
        <v>35.2</v>
      </c>
      <c r="BV88" s="92">
        <v>8</v>
      </c>
      <c r="BW88" s="92">
        <v>6</v>
      </c>
      <c r="BX88" s="92">
        <v>1</v>
      </c>
      <c r="BY88" s="93">
        <f t="shared" si="155"/>
        <v>20.379007212636647</v>
      </c>
      <c r="BZ88" s="73">
        <f t="shared" si="156"/>
        <v>5734.415937720969</v>
      </c>
      <c r="CA88" s="73"/>
      <c r="CB88" s="92">
        <v>783</v>
      </c>
      <c r="CC88" s="92">
        <f t="shared" si="157"/>
        <v>236.16</v>
      </c>
      <c r="CD88" s="92">
        <f t="shared" si="158"/>
        <v>6.528</v>
      </c>
      <c r="CE88" s="92">
        <f t="shared" si="159"/>
        <v>35.2</v>
      </c>
      <c r="CF88" s="92">
        <v>8</v>
      </c>
      <c r="CG88" s="92">
        <v>6</v>
      </c>
      <c r="CH88" s="92">
        <v>4</v>
      </c>
      <c r="CI88" s="93">
        <f t="shared" si="160"/>
        <v>18.750655989673998</v>
      </c>
      <c r="CJ88" s="73">
        <f t="shared" si="161"/>
        <v>6513.111965464634</v>
      </c>
      <c r="CK88" s="73"/>
      <c r="CL88" s="92">
        <v>353</v>
      </c>
      <c r="CM88" s="92">
        <f t="shared" si="162"/>
        <v>236.16</v>
      </c>
      <c r="CN88" s="92">
        <f t="shared" si="163"/>
        <v>6.528</v>
      </c>
      <c r="CO88" s="92">
        <f t="shared" si="164"/>
        <v>35.2</v>
      </c>
      <c r="CP88" s="92">
        <v>8</v>
      </c>
      <c r="CQ88" s="92">
        <v>6</v>
      </c>
      <c r="CR88" s="92">
        <v>1</v>
      </c>
      <c r="CS88" s="93">
        <f t="shared" si="165"/>
        <v>20.379007212636647</v>
      </c>
      <c r="CT88" s="73">
        <f t="shared" si="202"/>
        <v>6795.171103076512</v>
      </c>
      <c r="CU88" s="73"/>
      <c r="CV88" s="92">
        <v>472</v>
      </c>
      <c r="CW88" s="92">
        <f t="shared" si="167"/>
        <v>236.16</v>
      </c>
      <c r="CX88" s="92">
        <f t="shared" si="168"/>
        <v>6.528</v>
      </c>
      <c r="CY88" s="92">
        <f t="shared" si="192"/>
        <v>35.2</v>
      </c>
      <c r="CZ88" s="92">
        <v>8</v>
      </c>
      <c r="DA88" s="92">
        <v>6</v>
      </c>
      <c r="DB88" s="92">
        <v>1</v>
      </c>
      <c r="DC88" s="93">
        <f t="shared" si="169"/>
        <v>20.379007212636647</v>
      </c>
      <c r="DD88" s="73">
        <f t="shared" si="203"/>
        <v>5782.43765075338</v>
      </c>
      <c r="DE88" s="73"/>
      <c r="DF88" s="73">
        <v>1888</v>
      </c>
      <c r="DG88" s="73">
        <f t="shared" si="171"/>
        <v>236.16</v>
      </c>
      <c r="DH88" s="73">
        <f t="shared" si="172"/>
        <v>6.528</v>
      </c>
      <c r="DI88" s="73">
        <f t="shared" si="173"/>
        <v>35.2</v>
      </c>
      <c r="DJ88" s="92">
        <v>8</v>
      </c>
      <c r="DK88" s="92">
        <v>6</v>
      </c>
      <c r="DL88" s="92">
        <v>1</v>
      </c>
      <c r="DM88" s="93">
        <f t="shared" si="174"/>
        <v>20.379007212636647</v>
      </c>
      <c r="DN88" s="73">
        <f t="shared" si="204"/>
        <v>5867.4734985585765</v>
      </c>
      <c r="DO88" s="73"/>
      <c r="DP88" s="92">
        <v>445</v>
      </c>
      <c r="DQ88" s="73">
        <f t="shared" si="176"/>
        <v>236.16</v>
      </c>
      <c r="DR88" s="92">
        <f t="shared" si="177"/>
        <v>28.0908</v>
      </c>
      <c r="DS88" s="73">
        <f t="shared" si="178"/>
        <v>35.2</v>
      </c>
      <c r="DT88" s="92">
        <v>8</v>
      </c>
      <c r="DU88" s="92">
        <v>6</v>
      </c>
      <c r="DV88" s="92">
        <v>1</v>
      </c>
      <c r="DW88" s="93">
        <f t="shared" si="179"/>
        <v>72.49594681835998</v>
      </c>
      <c r="DX88" s="92">
        <f t="shared" si="180"/>
        <v>9263.201969252697</v>
      </c>
      <c r="DY88" s="73"/>
      <c r="DZ88" s="73">
        <v>587</v>
      </c>
      <c r="EA88" s="92">
        <f t="shared" si="181"/>
        <v>236.16</v>
      </c>
      <c r="EB88" s="92">
        <f t="shared" si="182"/>
        <v>6.528</v>
      </c>
      <c r="EC88" s="92">
        <f t="shared" si="183"/>
        <v>35.2</v>
      </c>
      <c r="ED88" s="92">
        <v>8</v>
      </c>
      <c r="EE88" s="92">
        <v>6</v>
      </c>
      <c r="EF88" s="92">
        <v>1</v>
      </c>
      <c r="EG88" s="93">
        <f t="shared" si="184"/>
        <v>20.379007212636647</v>
      </c>
      <c r="EH88" s="92">
        <f t="shared" si="185"/>
        <v>6634.377897364245</v>
      </c>
      <c r="EI88" s="73"/>
      <c r="EJ88" s="92">
        <v>450</v>
      </c>
      <c r="EK88" s="73">
        <f t="shared" si="193"/>
        <v>9.84</v>
      </c>
      <c r="EL88" s="73">
        <f t="shared" si="194"/>
        <v>6.528</v>
      </c>
      <c r="EM88" s="73">
        <f t="shared" si="195"/>
        <v>14.080000000000002</v>
      </c>
      <c r="EN88" s="92">
        <v>8</v>
      </c>
      <c r="EO88" s="92">
        <v>6</v>
      </c>
      <c r="EP88" s="92">
        <v>1</v>
      </c>
      <c r="EQ88" s="93">
        <f t="shared" si="186"/>
        <v>11.09170983479948</v>
      </c>
      <c r="ER88" s="73">
        <f t="shared" si="187"/>
        <v>5629.384829753678</v>
      </c>
      <c r="ES88" s="73"/>
      <c r="ET88" s="142">
        <v>0</v>
      </c>
      <c r="EU88" s="142">
        <v>0</v>
      </c>
      <c r="EV88" s="142">
        <v>6</v>
      </c>
      <c r="EW88" s="142">
        <v>39.8</v>
      </c>
      <c r="EX88" s="142">
        <v>0</v>
      </c>
      <c r="EY88" s="142">
        <v>0</v>
      </c>
      <c r="EZ88" s="142">
        <v>0</v>
      </c>
      <c r="FA88" s="142">
        <v>4.8</v>
      </c>
      <c r="FB88" s="142">
        <v>49.4</v>
      </c>
      <c r="FC88" s="92">
        <f t="shared" si="188"/>
        <v>6055.780030975198</v>
      </c>
      <c r="FE88" s="142">
        <v>611</v>
      </c>
      <c r="FF88" s="167">
        <f t="shared" si="196"/>
        <v>236.16</v>
      </c>
      <c r="FG88" s="167">
        <f t="shared" si="197"/>
        <v>6.528</v>
      </c>
      <c r="FH88" s="167">
        <f t="shared" si="199"/>
        <v>35.2</v>
      </c>
      <c r="FI88" s="167">
        <v>8</v>
      </c>
      <c r="FJ88" s="167">
        <v>6</v>
      </c>
      <c r="FK88" s="142">
        <v>1</v>
      </c>
      <c r="FL88" s="142">
        <f t="shared" si="198"/>
        <v>20.379007212636647</v>
      </c>
      <c r="FM88" s="142">
        <f>POWER(FL88,1)*275</f>
        <v>5604.226983475078</v>
      </c>
    </row>
    <row r="89" spans="1:169" s="17" customFormat="1" ht="17.25">
      <c r="A89" s="105">
        <v>82</v>
      </c>
      <c r="B89" s="72" t="s">
        <v>522</v>
      </c>
      <c r="C89" s="75">
        <v>1</v>
      </c>
      <c r="D89" s="72">
        <v>2</v>
      </c>
      <c r="E89" s="75">
        <v>550</v>
      </c>
      <c r="F89" s="75">
        <v>3400</v>
      </c>
      <c r="G89" s="75">
        <v>1340</v>
      </c>
      <c r="H89" s="72">
        <v>128</v>
      </c>
      <c r="I89" s="72">
        <v>48</v>
      </c>
      <c r="J89" s="72">
        <v>48</v>
      </c>
      <c r="K89" s="72">
        <v>8</v>
      </c>
      <c r="L89" s="106">
        <v>4.1</v>
      </c>
      <c r="M89" s="72">
        <v>96</v>
      </c>
      <c r="N89" s="106">
        <v>4.1</v>
      </c>
      <c r="O89" s="72" t="s">
        <v>21</v>
      </c>
      <c r="P89" s="77">
        <f t="shared" si="135"/>
        <v>194.47907414414766</v>
      </c>
      <c r="Q89" s="78">
        <f t="shared" si="200"/>
        <v>2925.1144213755842</v>
      </c>
      <c r="R89" s="78">
        <f t="shared" si="191"/>
        <v>3040.9984485433547</v>
      </c>
      <c r="S89" s="79">
        <v>512</v>
      </c>
      <c r="T89" s="90">
        <v>12</v>
      </c>
      <c r="U89" s="90">
        <v>60</v>
      </c>
      <c r="V89" s="72" t="s">
        <v>37</v>
      </c>
      <c r="W89" s="72" t="s">
        <v>27</v>
      </c>
      <c r="X89" s="72" t="s">
        <v>28</v>
      </c>
      <c r="Y89" s="72" t="s">
        <v>23</v>
      </c>
      <c r="Z89" s="81">
        <v>6.6</v>
      </c>
      <c r="AA89" s="124" t="s">
        <v>559</v>
      </c>
      <c r="AB89" s="72">
        <v>10.1</v>
      </c>
      <c r="AC89" s="82">
        <v>5</v>
      </c>
      <c r="AD89" s="83">
        <v>142</v>
      </c>
      <c r="AE89" s="84">
        <v>727</v>
      </c>
      <c r="AF89" s="85" t="s">
        <v>282</v>
      </c>
      <c r="AG89" s="72"/>
      <c r="AH89" s="73"/>
      <c r="AI89" s="73">
        <f t="shared" si="136"/>
        <v>26.4</v>
      </c>
      <c r="AJ89" s="73">
        <f t="shared" si="137"/>
        <v>26.4</v>
      </c>
      <c r="AK89" s="73">
        <f t="shared" si="138"/>
        <v>4.4</v>
      </c>
      <c r="AL89" s="73">
        <f t="shared" si="139"/>
        <v>42.88</v>
      </c>
      <c r="AM89" s="73">
        <f t="shared" si="189"/>
        <v>51.80952380952381</v>
      </c>
      <c r="AN89" s="73">
        <f t="shared" si="206"/>
        <v>1</v>
      </c>
      <c r="AO89" s="73">
        <v>2</v>
      </c>
      <c r="AP89" s="73">
        <v>1</v>
      </c>
      <c r="AQ89" s="73">
        <v>1</v>
      </c>
      <c r="AR89" s="73">
        <v>5</v>
      </c>
      <c r="AS89" s="73">
        <v>5</v>
      </c>
      <c r="AT89" s="73">
        <v>1</v>
      </c>
      <c r="AU89" s="73">
        <v>1.3</v>
      </c>
      <c r="AV89" s="73">
        <v>1</v>
      </c>
      <c r="AW89" s="73">
        <f t="shared" si="141"/>
        <v>26.4</v>
      </c>
      <c r="AX89" s="73">
        <f t="shared" si="142"/>
        <v>14.399999999999999</v>
      </c>
      <c r="AY89" s="73">
        <f t="shared" si="143"/>
        <v>32.24958217270195</v>
      </c>
      <c r="AZ89" s="73">
        <f t="shared" si="144"/>
        <v>40.998169644353105</v>
      </c>
      <c r="BA89" s="73"/>
      <c r="BB89" s="73">
        <v>0.02</v>
      </c>
      <c r="BC89" s="73">
        <f t="shared" si="146"/>
        <v>40.178206251466044</v>
      </c>
      <c r="BD89" s="73">
        <v>4.840412061378459</v>
      </c>
      <c r="BE89" s="87">
        <v>5.7504095289176105</v>
      </c>
      <c r="BF89" s="73"/>
      <c r="BG89" s="73"/>
      <c r="BH89" s="92">
        <v>548</v>
      </c>
      <c r="BI89" s="92">
        <f t="shared" si="147"/>
        <v>88</v>
      </c>
      <c r="BJ89" s="92">
        <f t="shared" si="148"/>
        <v>3.5733333333333333</v>
      </c>
      <c r="BK89" s="73">
        <f t="shared" si="149"/>
        <v>25.904761904761905</v>
      </c>
      <c r="BL89" s="73">
        <v>8</v>
      </c>
      <c r="BM89" s="73">
        <v>6</v>
      </c>
      <c r="BN89" s="73">
        <v>1</v>
      </c>
      <c r="BO89" s="73">
        <f t="shared" si="150"/>
        <v>11.05817617652129</v>
      </c>
      <c r="BP89" s="92">
        <f t="shared" si="151"/>
        <v>2546.4302575485403</v>
      </c>
      <c r="BQ89" s="73"/>
      <c r="BR89" s="92">
        <v>375</v>
      </c>
      <c r="BS89" s="73">
        <f t="shared" si="152"/>
        <v>88</v>
      </c>
      <c r="BT89" s="73">
        <f t="shared" si="153"/>
        <v>3.5733333333333333</v>
      </c>
      <c r="BU89" s="73">
        <f t="shared" si="154"/>
        <v>25.904761904761905</v>
      </c>
      <c r="BV89" s="73">
        <v>8</v>
      </c>
      <c r="BW89" s="73">
        <v>6</v>
      </c>
      <c r="BX89" s="73">
        <v>1</v>
      </c>
      <c r="BY89" s="73">
        <f t="shared" si="155"/>
        <v>11.05817617652129</v>
      </c>
      <c r="BZ89" s="73">
        <f t="shared" si="156"/>
        <v>3130.723171368767</v>
      </c>
      <c r="CA89" s="73"/>
      <c r="CB89" s="92">
        <v>783</v>
      </c>
      <c r="CC89" s="73">
        <f t="shared" si="157"/>
        <v>88</v>
      </c>
      <c r="CD89" s="73">
        <f t="shared" si="158"/>
        <v>3.5733333333333333</v>
      </c>
      <c r="CE89" s="73">
        <f t="shared" si="159"/>
        <v>25.904761904761905</v>
      </c>
      <c r="CF89" s="73">
        <v>8</v>
      </c>
      <c r="CG89" s="73">
        <v>6</v>
      </c>
      <c r="CH89" s="92">
        <v>4</v>
      </c>
      <c r="CI89" s="73">
        <f t="shared" si="160"/>
        <v>10.39271290742344</v>
      </c>
      <c r="CJ89" s="73">
        <f t="shared" si="161"/>
        <v>3504.9887759312355</v>
      </c>
      <c r="CK89" s="73"/>
      <c r="CL89" s="73">
        <v>353</v>
      </c>
      <c r="CM89" s="73">
        <f t="shared" si="162"/>
        <v>88</v>
      </c>
      <c r="CN89" s="73">
        <f t="shared" si="163"/>
        <v>3.5733333333333333</v>
      </c>
      <c r="CO89" s="73">
        <f t="shared" si="164"/>
        <v>25.904761904761905</v>
      </c>
      <c r="CP89" s="73">
        <v>8</v>
      </c>
      <c r="CQ89" s="73">
        <v>6</v>
      </c>
      <c r="CR89" s="73">
        <v>1</v>
      </c>
      <c r="CS89" s="73">
        <f t="shared" si="165"/>
        <v>11.05817617652129</v>
      </c>
      <c r="CT89" s="73">
        <f t="shared" si="202"/>
        <v>3755.483550541943</v>
      </c>
      <c r="CU89" s="73"/>
      <c r="CV89" s="73">
        <v>472</v>
      </c>
      <c r="CW89" s="73">
        <f t="shared" si="167"/>
        <v>88</v>
      </c>
      <c r="CX89" s="73">
        <f t="shared" si="168"/>
        <v>3.5733333333333333</v>
      </c>
      <c r="CY89" s="73">
        <f t="shared" si="192"/>
        <v>25.904761904761905</v>
      </c>
      <c r="CZ89" s="73">
        <v>8</v>
      </c>
      <c r="DA89" s="73">
        <v>6</v>
      </c>
      <c r="DB89" s="73">
        <v>1</v>
      </c>
      <c r="DC89" s="73">
        <f t="shared" si="169"/>
        <v>11.05817617652129</v>
      </c>
      <c r="DD89" s="73">
        <f t="shared" si="203"/>
        <v>3254.928189010103</v>
      </c>
      <c r="DE89" s="73"/>
      <c r="DF89" s="73">
        <v>1888</v>
      </c>
      <c r="DG89" s="73">
        <f t="shared" si="171"/>
        <v>88</v>
      </c>
      <c r="DH89" s="73">
        <f t="shared" si="172"/>
        <v>3.5733333333333333</v>
      </c>
      <c r="DI89" s="73">
        <f t="shared" si="173"/>
        <v>25.904761904761905</v>
      </c>
      <c r="DJ89" s="73">
        <v>8</v>
      </c>
      <c r="DK89" s="73">
        <v>6</v>
      </c>
      <c r="DL89" s="73">
        <v>1</v>
      </c>
      <c r="DM89" s="73">
        <f t="shared" si="174"/>
        <v>11.05817617652129</v>
      </c>
      <c r="DN89" s="73">
        <f t="shared" si="204"/>
        <v>3302.794780024957</v>
      </c>
      <c r="DO89" s="73"/>
      <c r="DP89" s="92">
        <v>445</v>
      </c>
      <c r="DQ89" s="73">
        <f t="shared" si="176"/>
        <v>88</v>
      </c>
      <c r="DR89" s="92">
        <f t="shared" si="177"/>
        <v>14.963333333333333</v>
      </c>
      <c r="DS89" s="73">
        <f t="shared" si="178"/>
        <v>25.904761904761905</v>
      </c>
      <c r="DT89" s="73">
        <v>8</v>
      </c>
      <c r="DU89" s="73">
        <v>6</v>
      </c>
      <c r="DV89" s="73">
        <v>1</v>
      </c>
      <c r="DW89" s="73">
        <f t="shared" si="179"/>
        <v>37.70083665639194</v>
      </c>
      <c r="DX89" s="92">
        <f t="shared" si="180"/>
        <v>5075.927544708842</v>
      </c>
      <c r="DY89" s="73"/>
      <c r="DZ89" s="73">
        <v>587</v>
      </c>
      <c r="EA89" s="92">
        <f t="shared" si="181"/>
        <v>88</v>
      </c>
      <c r="EB89" s="92">
        <f t="shared" si="182"/>
        <v>3.5733333333333333</v>
      </c>
      <c r="EC89" s="92">
        <f t="shared" si="183"/>
        <v>25.904761904761905</v>
      </c>
      <c r="ED89" s="73">
        <v>8</v>
      </c>
      <c r="EE89" s="73">
        <v>6</v>
      </c>
      <c r="EF89" s="73">
        <v>1</v>
      </c>
      <c r="EG89" s="73">
        <f t="shared" si="184"/>
        <v>11.05817617652129</v>
      </c>
      <c r="EH89" s="92">
        <f t="shared" si="185"/>
        <v>3491.6098607479958</v>
      </c>
      <c r="EI89" s="73"/>
      <c r="EJ89" s="92">
        <v>450</v>
      </c>
      <c r="EK89" s="73">
        <f t="shared" si="193"/>
        <v>3.6666666666666665</v>
      </c>
      <c r="EL89" s="73">
        <f t="shared" si="194"/>
        <v>3.5733333333333333</v>
      </c>
      <c r="EM89" s="73">
        <f t="shared" si="195"/>
        <v>10.361904761904762</v>
      </c>
      <c r="EN89" s="73">
        <v>8</v>
      </c>
      <c r="EO89" s="73">
        <v>6</v>
      </c>
      <c r="EP89" s="73">
        <v>1</v>
      </c>
      <c r="EQ89" s="73">
        <f t="shared" si="186"/>
        <v>5.053784890062014</v>
      </c>
      <c r="ER89" s="73">
        <f t="shared" si="187"/>
        <v>2466.096711198267</v>
      </c>
      <c r="ES89" s="73"/>
      <c r="ET89" s="142">
        <v>0</v>
      </c>
      <c r="EU89" s="142">
        <v>0</v>
      </c>
      <c r="EV89" s="142">
        <v>6</v>
      </c>
      <c r="EW89" s="142">
        <v>39.8</v>
      </c>
      <c r="EX89" s="142">
        <v>0</v>
      </c>
      <c r="EY89" s="142">
        <v>0</v>
      </c>
      <c r="EZ89" s="142">
        <v>0</v>
      </c>
      <c r="FA89" s="142">
        <v>4.8</v>
      </c>
      <c r="FB89" s="142">
        <v>49.4</v>
      </c>
      <c r="FC89" s="92">
        <f t="shared" si="188"/>
        <v>2925.1144213755842</v>
      </c>
      <c r="FE89" s="142">
        <v>611</v>
      </c>
      <c r="FF89" s="167">
        <f t="shared" si="196"/>
        <v>88</v>
      </c>
      <c r="FG89" s="167">
        <f t="shared" si="197"/>
        <v>3.5733333333333333</v>
      </c>
      <c r="FH89" s="167">
        <f t="shared" si="199"/>
        <v>25.904761904761905</v>
      </c>
      <c r="FI89" s="167">
        <v>8</v>
      </c>
      <c r="FJ89" s="167">
        <v>6</v>
      </c>
      <c r="FK89" s="142">
        <v>1</v>
      </c>
      <c r="FL89" s="142">
        <f t="shared" si="198"/>
        <v>11.05817617652129</v>
      </c>
      <c r="FM89" s="142">
        <f aca="true" t="shared" si="207" ref="FM89:FM120">POWER(FL89,1)*275</f>
        <v>3040.9984485433547</v>
      </c>
    </row>
    <row r="90" spans="1:169" s="17" customFormat="1" ht="17.25">
      <c r="A90" s="105">
        <v>83</v>
      </c>
      <c r="B90" s="72" t="s">
        <v>569</v>
      </c>
      <c r="C90" s="75">
        <v>1</v>
      </c>
      <c r="D90" s="72">
        <v>2</v>
      </c>
      <c r="E90" s="75">
        <v>625</v>
      </c>
      <c r="F90" s="75">
        <v>1580</v>
      </c>
      <c r="G90" s="75">
        <v>1360</v>
      </c>
      <c r="H90" s="72">
        <v>128</v>
      </c>
      <c r="I90" s="72">
        <v>24</v>
      </c>
      <c r="J90" s="72">
        <v>24</v>
      </c>
      <c r="K90" s="72">
        <v>8</v>
      </c>
      <c r="L90" s="106">
        <v>4.1</v>
      </c>
      <c r="M90" s="72">
        <v>48</v>
      </c>
      <c r="N90" s="106">
        <v>4.1</v>
      </c>
      <c r="O90" s="72" t="s">
        <v>21</v>
      </c>
      <c r="P90" s="77">
        <f t="shared" si="135"/>
        <v>104.36928762835439</v>
      </c>
      <c r="Q90" s="78">
        <f t="shared" si="200"/>
        <v>1830.3906998648083</v>
      </c>
      <c r="R90" s="78">
        <f t="shared" si="191"/>
        <v>1585.9570923082208</v>
      </c>
      <c r="S90" s="79">
        <v>1024</v>
      </c>
      <c r="T90" s="90">
        <v>10</v>
      </c>
      <c r="U90" s="90">
        <v>40</v>
      </c>
      <c r="V90" s="72" t="s">
        <v>37</v>
      </c>
      <c r="W90" s="72" t="s">
        <v>27</v>
      </c>
      <c r="X90" s="72" t="s">
        <v>28</v>
      </c>
      <c r="Y90" s="72" t="s">
        <v>23</v>
      </c>
      <c r="Z90" s="81">
        <v>6.6</v>
      </c>
      <c r="AA90" s="124" t="s">
        <v>559</v>
      </c>
      <c r="AB90" s="72">
        <v>10.1</v>
      </c>
      <c r="AC90" s="82">
        <v>3</v>
      </c>
      <c r="AD90" s="83">
        <v>100</v>
      </c>
      <c r="AE90" s="84">
        <v>486</v>
      </c>
      <c r="AF90" s="85" t="s">
        <v>282</v>
      </c>
      <c r="AG90" s="72"/>
      <c r="AH90" s="73"/>
      <c r="AI90" s="73">
        <f t="shared" si="136"/>
        <v>15</v>
      </c>
      <c r="AJ90" s="73">
        <f t="shared" si="137"/>
        <v>15</v>
      </c>
      <c r="AK90" s="73">
        <f t="shared" si="138"/>
        <v>5</v>
      </c>
      <c r="AL90" s="73">
        <f t="shared" si="139"/>
        <v>21.76</v>
      </c>
      <c r="AM90" s="73">
        <f t="shared" si="189"/>
        <v>25.28</v>
      </c>
      <c r="AN90" s="73">
        <f t="shared" si="206"/>
        <v>1</v>
      </c>
      <c r="AO90" s="73">
        <v>2</v>
      </c>
      <c r="AP90" s="73">
        <v>1</v>
      </c>
      <c r="AQ90" s="73">
        <v>1</v>
      </c>
      <c r="AR90" s="73">
        <v>5</v>
      </c>
      <c r="AS90" s="73">
        <v>5</v>
      </c>
      <c r="AT90" s="73">
        <v>1</v>
      </c>
      <c r="AU90" s="73">
        <v>1.3</v>
      </c>
      <c r="AV90" s="73">
        <v>1</v>
      </c>
      <c r="AW90" s="73">
        <f t="shared" si="141"/>
        <v>15</v>
      </c>
      <c r="AX90" s="73">
        <f t="shared" si="142"/>
        <v>11.25</v>
      </c>
      <c r="AY90" s="73">
        <f t="shared" si="143"/>
        <v>18.828355339059097</v>
      </c>
      <c r="AZ90" s="73">
        <f t="shared" si="144"/>
        <v>22.002108857614186</v>
      </c>
      <c r="BA90" s="73"/>
      <c r="BB90" s="73">
        <v>0.02</v>
      </c>
      <c r="BC90" s="73">
        <f t="shared" si="146"/>
        <v>21.5620666804619</v>
      </c>
      <c r="BD90" s="73">
        <v>4.840412061378459</v>
      </c>
      <c r="BE90" s="87">
        <v>5.7504095289176105</v>
      </c>
      <c r="BF90" s="73"/>
      <c r="BG90" s="73"/>
      <c r="BH90" s="92">
        <v>548</v>
      </c>
      <c r="BI90" s="92">
        <f t="shared" si="147"/>
        <v>100</v>
      </c>
      <c r="BJ90" s="92">
        <f t="shared" si="148"/>
        <v>1.8133333333333332</v>
      </c>
      <c r="BK90" s="73">
        <f t="shared" si="149"/>
        <v>12.64</v>
      </c>
      <c r="BL90" s="73">
        <v>8</v>
      </c>
      <c r="BM90" s="73">
        <v>6</v>
      </c>
      <c r="BN90" s="73">
        <v>1</v>
      </c>
      <c r="BO90" s="73">
        <f t="shared" si="150"/>
        <v>5.767116699302621</v>
      </c>
      <c r="BP90" s="92">
        <f t="shared" si="151"/>
        <v>1260.6340684579484</v>
      </c>
      <c r="BQ90" s="73"/>
      <c r="BR90" s="92">
        <v>375</v>
      </c>
      <c r="BS90" s="73">
        <f t="shared" si="152"/>
        <v>100</v>
      </c>
      <c r="BT90" s="73">
        <f t="shared" si="153"/>
        <v>1.8133333333333332</v>
      </c>
      <c r="BU90" s="73">
        <f t="shared" si="154"/>
        <v>12.64</v>
      </c>
      <c r="BV90" s="73">
        <v>8</v>
      </c>
      <c r="BW90" s="73">
        <v>6</v>
      </c>
      <c r="BX90" s="73">
        <v>1</v>
      </c>
      <c r="BY90" s="73">
        <f t="shared" si="155"/>
        <v>5.767116699302621</v>
      </c>
      <c r="BZ90" s="73">
        <f t="shared" si="156"/>
        <v>1643.4146347299047</v>
      </c>
      <c r="CA90" s="73"/>
      <c r="CB90" s="92">
        <v>783</v>
      </c>
      <c r="CC90" s="73">
        <f t="shared" si="157"/>
        <v>100</v>
      </c>
      <c r="CD90" s="73">
        <f t="shared" si="158"/>
        <v>1.8133333333333332</v>
      </c>
      <c r="CE90" s="73">
        <f t="shared" si="159"/>
        <v>12.64</v>
      </c>
      <c r="CF90" s="73">
        <v>8</v>
      </c>
      <c r="CG90" s="73">
        <v>6</v>
      </c>
      <c r="CH90" s="92">
        <v>4</v>
      </c>
      <c r="CI90" s="73">
        <f t="shared" si="160"/>
        <v>5.397703865808982</v>
      </c>
      <c r="CJ90" s="73">
        <f t="shared" si="161"/>
        <v>1761.735726732589</v>
      </c>
      <c r="CK90" s="73"/>
      <c r="CL90" s="73">
        <v>353</v>
      </c>
      <c r="CM90" s="73">
        <f t="shared" si="162"/>
        <v>100</v>
      </c>
      <c r="CN90" s="73">
        <f t="shared" si="163"/>
        <v>1.8133333333333332</v>
      </c>
      <c r="CO90" s="73">
        <f t="shared" si="164"/>
        <v>12.64</v>
      </c>
      <c r="CP90" s="73">
        <v>8</v>
      </c>
      <c r="CQ90" s="73">
        <v>6</v>
      </c>
      <c r="CR90" s="73">
        <v>1</v>
      </c>
      <c r="CS90" s="73">
        <f t="shared" si="165"/>
        <v>5.767116699302621</v>
      </c>
      <c r="CT90" s="73">
        <f t="shared" si="202"/>
        <v>1997.2059068959047</v>
      </c>
      <c r="CU90" s="73"/>
      <c r="CV90" s="73">
        <v>472</v>
      </c>
      <c r="CW90" s="73">
        <f t="shared" si="167"/>
        <v>100</v>
      </c>
      <c r="CX90" s="73">
        <f t="shared" si="168"/>
        <v>1.8133333333333332</v>
      </c>
      <c r="CY90" s="73">
        <f t="shared" si="192"/>
        <v>12.64</v>
      </c>
      <c r="CZ90" s="73">
        <v>8</v>
      </c>
      <c r="DA90" s="73">
        <v>6</v>
      </c>
      <c r="DB90" s="73">
        <v>1</v>
      </c>
      <c r="DC90" s="73">
        <f t="shared" si="169"/>
        <v>5.767116699302621</v>
      </c>
      <c r="DD90" s="73">
        <f t="shared" si="203"/>
        <v>1765.1439652138395</v>
      </c>
      <c r="DE90" s="73"/>
      <c r="DF90" s="73">
        <v>1888</v>
      </c>
      <c r="DG90" s="73">
        <f t="shared" si="171"/>
        <v>100</v>
      </c>
      <c r="DH90" s="73">
        <f t="shared" si="172"/>
        <v>1.8133333333333332</v>
      </c>
      <c r="DI90" s="73">
        <f t="shared" si="173"/>
        <v>12.64</v>
      </c>
      <c r="DJ90" s="73">
        <v>8</v>
      </c>
      <c r="DK90" s="73">
        <v>6</v>
      </c>
      <c r="DL90" s="73">
        <v>1</v>
      </c>
      <c r="DM90" s="73">
        <f t="shared" si="174"/>
        <v>5.767116699302621</v>
      </c>
      <c r="DN90" s="73">
        <f t="shared" si="204"/>
        <v>1791.1019647022783</v>
      </c>
      <c r="DO90" s="73"/>
      <c r="DP90" s="92">
        <v>445</v>
      </c>
      <c r="DQ90" s="73">
        <f t="shared" si="176"/>
        <v>100</v>
      </c>
      <c r="DR90" s="92">
        <f t="shared" si="177"/>
        <v>15.413333333333334</v>
      </c>
      <c r="DS90" s="73">
        <f t="shared" si="178"/>
        <v>12.64</v>
      </c>
      <c r="DT90" s="73">
        <v>8</v>
      </c>
      <c r="DU90" s="73">
        <v>6</v>
      </c>
      <c r="DV90" s="73">
        <v>1</v>
      </c>
      <c r="DW90" s="73">
        <f t="shared" si="179"/>
        <v>36.4705760197696</v>
      </c>
      <c r="DX90" s="92">
        <f t="shared" si="180"/>
        <v>4923.338744821458</v>
      </c>
      <c r="DY90" s="73"/>
      <c r="DZ90" s="73">
        <v>587</v>
      </c>
      <c r="EA90" s="92">
        <f t="shared" si="181"/>
        <v>100</v>
      </c>
      <c r="EB90" s="92">
        <f t="shared" si="182"/>
        <v>1.8133333333333332</v>
      </c>
      <c r="EC90" s="92">
        <f t="shared" si="183"/>
        <v>12.64</v>
      </c>
      <c r="ED90" s="73">
        <v>8</v>
      </c>
      <c r="EE90" s="73">
        <v>6</v>
      </c>
      <c r="EF90" s="73">
        <v>1</v>
      </c>
      <c r="EG90" s="73">
        <f t="shared" si="184"/>
        <v>5.767116699302621</v>
      </c>
      <c r="EH90" s="92">
        <f t="shared" si="185"/>
        <v>1762.6444095174888</v>
      </c>
      <c r="EI90" s="73"/>
      <c r="EJ90" s="92">
        <v>450</v>
      </c>
      <c r="EK90" s="73">
        <f t="shared" si="193"/>
        <v>4.166666666666667</v>
      </c>
      <c r="EL90" s="73">
        <f t="shared" si="194"/>
        <v>1.8133333333333332</v>
      </c>
      <c r="EM90" s="73">
        <f t="shared" si="195"/>
        <v>5.056</v>
      </c>
      <c r="EN90" s="73">
        <v>8</v>
      </c>
      <c r="EO90" s="73">
        <v>6</v>
      </c>
      <c r="EP90" s="73">
        <v>1</v>
      </c>
      <c r="EQ90" s="73">
        <f t="shared" si="186"/>
        <v>3.6855432986161376</v>
      </c>
      <c r="ER90" s="73">
        <f t="shared" si="187"/>
        <v>1770.2683605575928</v>
      </c>
      <c r="ES90" s="73"/>
      <c r="ET90" s="142">
        <v>0</v>
      </c>
      <c r="EU90" s="142">
        <v>0</v>
      </c>
      <c r="EV90" s="142">
        <v>6</v>
      </c>
      <c r="EW90" s="142">
        <v>39.8</v>
      </c>
      <c r="EX90" s="142">
        <v>0</v>
      </c>
      <c r="EY90" s="142">
        <v>0</v>
      </c>
      <c r="EZ90" s="142">
        <v>0</v>
      </c>
      <c r="FA90" s="142">
        <v>4.8</v>
      </c>
      <c r="FB90" s="142">
        <v>49.4</v>
      </c>
      <c r="FC90" s="92">
        <f t="shared" si="188"/>
        <v>1830.3906998648083</v>
      </c>
      <c r="FE90" s="142">
        <v>611</v>
      </c>
      <c r="FF90" s="167">
        <f t="shared" si="196"/>
        <v>100</v>
      </c>
      <c r="FG90" s="167">
        <f t="shared" si="197"/>
        <v>1.8133333333333332</v>
      </c>
      <c r="FH90" s="167">
        <f t="shared" si="199"/>
        <v>12.64</v>
      </c>
      <c r="FI90" s="167">
        <v>8</v>
      </c>
      <c r="FJ90" s="167">
        <v>6</v>
      </c>
      <c r="FK90" s="142">
        <v>1</v>
      </c>
      <c r="FL90" s="142">
        <f t="shared" si="198"/>
        <v>5.767116699302621</v>
      </c>
      <c r="FM90" s="142">
        <f t="shared" si="207"/>
        <v>1585.9570923082208</v>
      </c>
    </row>
    <row r="91" spans="1:169" s="17" customFormat="1" ht="17.25">
      <c r="A91" s="105">
        <v>84</v>
      </c>
      <c r="B91" s="72" t="s">
        <v>557</v>
      </c>
      <c r="C91" s="75">
        <v>1</v>
      </c>
      <c r="D91" s="72">
        <v>2</v>
      </c>
      <c r="E91" s="75">
        <v>589</v>
      </c>
      <c r="F91" s="75">
        <v>1000</v>
      </c>
      <c r="G91" s="75">
        <v>1402</v>
      </c>
      <c r="H91" s="72">
        <v>64</v>
      </c>
      <c r="I91" s="72">
        <v>8</v>
      </c>
      <c r="J91" s="72">
        <v>8</v>
      </c>
      <c r="K91" s="72">
        <v>4</v>
      </c>
      <c r="L91" s="106">
        <v>4.1</v>
      </c>
      <c r="M91" s="72">
        <v>16</v>
      </c>
      <c r="N91" s="106">
        <v>4.1</v>
      </c>
      <c r="O91" s="72" t="s">
        <v>21</v>
      </c>
      <c r="P91" s="77">
        <f t="shared" si="135"/>
        <v>34.61235261352857</v>
      </c>
      <c r="Q91" s="78">
        <f t="shared" si="200"/>
        <v>646.8633955604172</v>
      </c>
      <c r="R91" s="78">
        <f t="shared" si="191"/>
        <v>547.3246458892105</v>
      </c>
      <c r="S91" s="79">
        <v>512</v>
      </c>
      <c r="T91" s="90">
        <v>6</v>
      </c>
      <c r="U91" s="90">
        <v>18</v>
      </c>
      <c r="V91" s="72" t="s">
        <v>37</v>
      </c>
      <c r="W91" s="72" t="s">
        <v>27</v>
      </c>
      <c r="X91" s="72" t="s">
        <v>28</v>
      </c>
      <c r="Y91" s="72" t="s">
        <v>23</v>
      </c>
      <c r="Z91" s="81">
        <v>6.6</v>
      </c>
      <c r="AA91" s="123" t="s">
        <v>556</v>
      </c>
      <c r="AB91" s="72">
        <v>10.1</v>
      </c>
      <c r="AC91" s="82">
        <v>3</v>
      </c>
      <c r="AD91" s="83">
        <v>57</v>
      </c>
      <c r="AE91" s="84">
        <v>260</v>
      </c>
      <c r="AF91" s="85" t="s">
        <v>282</v>
      </c>
      <c r="AG91" s="72"/>
      <c r="AH91" s="73"/>
      <c r="AI91" s="73">
        <f t="shared" si="136"/>
        <v>4.712</v>
      </c>
      <c r="AJ91" s="73">
        <f t="shared" si="137"/>
        <v>4.712</v>
      </c>
      <c r="AK91" s="73">
        <f t="shared" si="138"/>
        <v>2.356</v>
      </c>
      <c r="AL91" s="73">
        <f t="shared" si="139"/>
        <v>7.477333333333333</v>
      </c>
      <c r="AM91" s="73">
        <f t="shared" si="189"/>
        <v>8</v>
      </c>
      <c r="AN91" s="73">
        <f t="shared" si="206"/>
        <v>1</v>
      </c>
      <c r="AO91" s="73">
        <v>2</v>
      </c>
      <c r="AP91" s="73">
        <v>1</v>
      </c>
      <c r="AQ91" s="73">
        <v>1</v>
      </c>
      <c r="AR91" s="73">
        <v>5</v>
      </c>
      <c r="AS91" s="73">
        <v>5</v>
      </c>
      <c r="AT91" s="73">
        <v>1</v>
      </c>
      <c r="AU91" s="73">
        <v>1.3</v>
      </c>
      <c r="AV91" s="73">
        <v>1</v>
      </c>
      <c r="AW91" s="73">
        <f t="shared" si="141"/>
        <v>4.712</v>
      </c>
      <c r="AX91" s="73">
        <f t="shared" si="142"/>
        <v>4.038857142857143</v>
      </c>
      <c r="AY91" s="73">
        <f t="shared" si="143"/>
        <v>6.548199675101186</v>
      </c>
      <c r="AZ91" s="73">
        <f t="shared" si="144"/>
        <v>7.296636465822641</v>
      </c>
      <c r="BA91" s="73"/>
      <c r="BB91" s="73">
        <v>0.02</v>
      </c>
      <c r="BC91" s="73">
        <f t="shared" si="146"/>
        <v>7.1507037365061885</v>
      </c>
      <c r="BD91" s="73">
        <v>4.840412061378459</v>
      </c>
      <c r="BE91" s="87">
        <v>5.7504095289176105</v>
      </c>
      <c r="BF91" s="73"/>
      <c r="BG91" s="73"/>
      <c r="BH91" s="92">
        <v>548</v>
      </c>
      <c r="BI91" s="92">
        <f t="shared" si="147"/>
        <v>47.12</v>
      </c>
      <c r="BJ91" s="92">
        <f t="shared" si="148"/>
        <v>0.6231111111111111</v>
      </c>
      <c r="BK91" s="73">
        <f t="shared" si="149"/>
        <v>4</v>
      </c>
      <c r="BL91" s="73">
        <v>8</v>
      </c>
      <c r="BM91" s="73">
        <v>6</v>
      </c>
      <c r="BN91" s="73">
        <v>1</v>
      </c>
      <c r="BO91" s="73">
        <f t="shared" si="150"/>
        <v>1.9902714395971293</v>
      </c>
      <c r="BP91" s="92">
        <f t="shared" si="151"/>
        <v>399.557140853977</v>
      </c>
      <c r="BQ91" s="73"/>
      <c r="BR91" s="92">
        <v>375</v>
      </c>
      <c r="BS91" s="73">
        <f t="shared" si="152"/>
        <v>47.12</v>
      </c>
      <c r="BT91" s="73">
        <f t="shared" si="153"/>
        <v>0.6231111111111111</v>
      </c>
      <c r="BU91" s="73">
        <f t="shared" si="154"/>
        <v>4</v>
      </c>
      <c r="BV91" s="73">
        <v>8</v>
      </c>
      <c r="BW91" s="73">
        <v>6</v>
      </c>
      <c r="BX91" s="73">
        <v>1</v>
      </c>
      <c r="BY91" s="73">
        <f t="shared" si="155"/>
        <v>1.9902714395971293</v>
      </c>
      <c r="BZ91" s="73">
        <f t="shared" si="156"/>
        <v>573.219803230575</v>
      </c>
      <c r="CA91" s="73"/>
      <c r="CB91" s="92">
        <v>783</v>
      </c>
      <c r="CC91" s="73">
        <f t="shared" si="157"/>
        <v>47.12</v>
      </c>
      <c r="CD91" s="73">
        <f t="shared" si="158"/>
        <v>0.6231111111111111</v>
      </c>
      <c r="CE91" s="73">
        <f t="shared" si="159"/>
        <v>4</v>
      </c>
      <c r="CF91" s="73">
        <v>8</v>
      </c>
      <c r="CG91" s="73">
        <v>6</v>
      </c>
      <c r="CH91" s="92">
        <v>4</v>
      </c>
      <c r="CI91" s="73">
        <f t="shared" si="160"/>
        <v>1.8520438177700018</v>
      </c>
      <c r="CJ91" s="73">
        <f t="shared" si="161"/>
        <v>573.0005978518627</v>
      </c>
      <c r="CK91" s="73"/>
      <c r="CL91" s="73">
        <v>353</v>
      </c>
      <c r="CM91" s="73">
        <f t="shared" si="162"/>
        <v>47.12</v>
      </c>
      <c r="CN91" s="73">
        <f t="shared" si="163"/>
        <v>0.6231111111111111</v>
      </c>
      <c r="CO91" s="73">
        <f t="shared" si="164"/>
        <v>4</v>
      </c>
      <c r="CP91" s="73">
        <v>8</v>
      </c>
      <c r="CQ91" s="73">
        <v>6</v>
      </c>
      <c r="CR91" s="73">
        <v>1</v>
      </c>
      <c r="CS91" s="73">
        <f t="shared" si="165"/>
        <v>1.9902714395971293</v>
      </c>
      <c r="CT91" s="73">
        <f t="shared" si="202"/>
        <v>711.6030585314522</v>
      </c>
      <c r="CU91" s="73"/>
      <c r="CV91" s="73">
        <v>472</v>
      </c>
      <c r="CW91" s="73">
        <f t="shared" si="167"/>
        <v>47.12</v>
      </c>
      <c r="CX91" s="73">
        <f t="shared" si="168"/>
        <v>0.6231111111111111</v>
      </c>
      <c r="CY91" s="73">
        <f t="shared" si="192"/>
        <v>4</v>
      </c>
      <c r="CZ91" s="73">
        <v>8</v>
      </c>
      <c r="DA91" s="73">
        <v>6</v>
      </c>
      <c r="DB91" s="73">
        <v>1</v>
      </c>
      <c r="DC91" s="73">
        <f t="shared" si="169"/>
        <v>1.9902714395971293</v>
      </c>
      <c r="DD91" s="73">
        <f t="shared" si="203"/>
        <v>649.3165751935211</v>
      </c>
      <c r="DE91" s="73"/>
      <c r="DF91" s="73">
        <v>1888</v>
      </c>
      <c r="DG91" s="73">
        <f t="shared" si="171"/>
        <v>47.12</v>
      </c>
      <c r="DH91" s="73">
        <f t="shared" si="172"/>
        <v>0.6231111111111111</v>
      </c>
      <c r="DI91" s="73">
        <f t="shared" si="173"/>
        <v>4</v>
      </c>
      <c r="DJ91" s="73">
        <v>8</v>
      </c>
      <c r="DK91" s="73">
        <v>6</v>
      </c>
      <c r="DL91" s="73">
        <v>1</v>
      </c>
      <c r="DM91" s="73">
        <f t="shared" si="174"/>
        <v>1.9902714395971293</v>
      </c>
      <c r="DN91" s="73">
        <f t="shared" si="204"/>
        <v>658.8653483581317</v>
      </c>
      <c r="DO91" s="73"/>
      <c r="DP91" s="92">
        <v>445</v>
      </c>
      <c r="DQ91" s="73">
        <f t="shared" si="176"/>
        <v>47.12</v>
      </c>
      <c r="DR91" s="92">
        <f t="shared" si="177"/>
        <v>16.380033333333333</v>
      </c>
      <c r="DS91" s="73">
        <f t="shared" si="178"/>
        <v>4</v>
      </c>
      <c r="DT91" s="73">
        <v>8</v>
      </c>
      <c r="DU91" s="73">
        <v>6</v>
      </c>
      <c r="DV91" s="73">
        <v>1</v>
      </c>
      <c r="DW91" s="73">
        <f t="shared" si="179"/>
        <v>25.442738383349827</v>
      </c>
      <c r="DX91" s="92">
        <f t="shared" si="180"/>
        <v>3535.0149043366796</v>
      </c>
      <c r="DY91" s="73"/>
      <c r="DZ91" s="73">
        <v>587</v>
      </c>
      <c r="EA91" s="92">
        <f t="shared" si="181"/>
        <v>47.12</v>
      </c>
      <c r="EB91" s="92">
        <f t="shared" si="182"/>
        <v>0.6231111111111111</v>
      </c>
      <c r="EC91" s="92">
        <f t="shared" si="183"/>
        <v>4</v>
      </c>
      <c r="ED91" s="73">
        <v>8</v>
      </c>
      <c r="EE91" s="73">
        <v>6</v>
      </c>
      <c r="EF91" s="73">
        <v>1</v>
      </c>
      <c r="EG91" s="73">
        <f t="shared" si="184"/>
        <v>1.9902714395971293</v>
      </c>
      <c r="EH91" s="92">
        <f t="shared" si="185"/>
        <v>576.7876566136548</v>
      </c>
      <c r="EI91" s="73"/>
      <c r="EJ91" s="92">
        <v>450</v>
      </c>
      <c r="EK91" s="73">
        <f t="shared" si="193"/>
        <v>1.9633333333333334</v>
      </c>
      <c r="EL91" s="73">
        <f t="shared" si="194"/>
        <v>0.6231111111111111</v>
      </c>
      <c r="EM91" s="73">
        <f t="shared" si="195"/>
        <v>1.6</v>
      </c>
      <c r="EN91" s="73">
        <v>8</v>
      </c>
      <c r="EO91" s="73">
        <v>6</v>
      </c>
      <c r="EP91" s="73">
        <v>1</v>
      </c>
      <c r="EQ91" s="73">
        <f t="shared" si="186"/>
        <v>1.3957898902474337</v>
      </c>
      <c r="ER91" s="73">
        <f t="shared" si="187"/>
        <v>638.6656586760031</v>
      </c>
      <c r="ES91" s="73"/>
      <c r="ET91" s="142">
        <v>0</v>
      </c>
      <c r="EU91" s="142">
        <v>0</v>
      </c>
      <c r="EV91" s="142">
        <v>6</v>
      </c>
      <c r="EW91" s="142">
        <v>39.8</v>
      </c>
      <c r="EX91" s="142">
        <v>0</v>
      </c>
      <c r="EY91" s="142">
        <v>0</v>
      </c>
      <c r="EZ91" s="142">
        <v>0</v>
      </c>
      <c r="FA91" s="142">
        <v>4.8</v>
      </c>
      <c r="FB91" s="142">
        <v>49.4</v>
      </c>
      <c r="FC91" s="92">
        <f t="shared" si="188"/>
        <v>646.8633955604172</v>
      </c>
      <c r="FE91" s="142">
        <v>611</v>
      </c>
      <c r="FF91" s="167">
        <f t="shared" si="196"/>
        <v>47.12</v>
      </c>
      <c r="FG91" s="167">
        <f t="shared" si="197"/>
        <v>0.6231111111111111</v>
      </c>
      <c r="FH91" s="167">
        <f t="shared" si="199"/>
        <v>4</v>
      </c>
      <c r="FI91" s="167">
        <v>8</v>
      </c>
      <c r="FJ91" s="167">
        <v>6</v>
      </c>
      <c r="FK91" s="142">
        <v>1</v>
      </c>
      <c r="FL91" s="142">
        <f t="shared" si="198"/>
        <v>1.9902714395971293</v>
      </c>
      <c r="FM91" s="142">
        <f t="shared" si="207"/>
        <v>547.3246458892105</v>
      </c>
    </row>
    <row r="92" spans="1:169" s="4" customFormat="1" ht="17.25">
      <c r="A92" s="105">
        <v>85</v>
      </c>
      <c r="B92" s="94" t="s">
        <v>475</v>
      </c>
      <c r="C92" s="75">
        <v>2</v>
      </c>
      <c r="D92" s="94">
        <v>4</v>
      </c>
      <c r="E92" s="75">
        <v>600</v>
      </c>
      <c r="F92" s="75">
        <v>2000</v>
      </c>
      <c r="G92" s="75">
        <v>1500</v>
      </c>
      <c r="H92" s="94">
        <v>256</v>
      </c>
      <c r="I92" s="72">
        <f aca="true" t="shared" si="208" ref="I92:I97">J92</f>
        <v>64</v>
      </c>
      <c r="J92" s="94">
        <v>64</v>
      </c>
      <c r="K92" s="94">
        <v>16</v>
      </c>
      <c r="L92" s="100" t="s">
        <v>30</v>
      </c>
      <c r="M92" s="94">
        <v>128</v>
      </c>
      <c r="N92" s="100" t="s">
        <v>30</v>
      </c>
      <c r="O92" s="94" t="s">
        <v>21</v>
      </c>
      <c r="P92" s="77">
        <f t="shared" si="135"/>
        <v>456.21785896351</v>
      </c>
      <c r="Q92" s="78">
        <f t="shared" si="200"/>
        <v>9889.324396046937</v>
      </c>
      <c r="R92" s="78">
        <f t="shared" si="191"/>
        <v>9182.608695652174</v>
      </c>
      <c r="S92" s="89">
        <v>512</v>
      </c>
      <c r="T92" s="102">
        <v>90</v>
      </c>
      <c r="U92" s="102">
        <v>270</v>
      </c>
      <c r="V92" s="94" t="s">
        <v>37</v>
      </c>
      <c r="W92" s="94" t="s">
        <v>29</v>
      </c>
      <c r="X92" s="14" t="s">
        <v>39</v>
      </c>
      <c r="Y92" s="94" t="s">
        <v>40</v>
      </c>
      <c r="Z92" s="81">
        <v>10.5</v>
      </c>
      <c r="AA92" s="124" t="s">
        <v>559</v>
      </c>
      <c r="AB92" s="94">
        <v>10</v>
      </c>
      <c r="AC92" s="96">
        <v>3</v>
      </c>
      <c r="AD92" s="97">
        <v>334</v>
      </c>
      <c r="AE92" s="98">
        <f aca="true" t="shared" si="209" ref="AE92:AE97">754*C92</f>
        <v>1508</v>
      </c>
      <c r="AF92" s="99">
        <v>65</v>
      </c>
      <c r="AG92" s="94"/>
      <c r="AH92" s="91"/>
      <c r="AI92" s="87">
        <f t="shared" si="136"/>
        <v>38.4</v>
      </c>
      <c r="AJ92" s="91">
        <f t="shared" si="137"/>
        <v>38.4</v>
      </c>
      <c r="AK92" s="91">
        <f t="shared" si="138"/>
        <v>9.6</v>
      </c>
      <c r="AL92" s="87">
        <f t="shared" si="139"/>
        <v>64</v>
      </c>
      <c r="AM92" s="92">
        <f t="shared" si="189"/>
        <v>64</v>
      </c>
      <c r="AN92" s="92">
        <f>POWER(INT(MIN(C92,D92)/2)*2,0.4)+LN(INT(MIN(C92,D92)/2)*2)*0.5</f>
        <v>1.666081501052867</v>
      </c>
      <c r="AO92" s="87">
        <v>2</v>
      </c>
      <c r="AP92" s="87">
        <v>1</v>
      </c>
      <c r="AQ92" s="87">
        <v>1</v>
      </c>
      <c r="AR92" s="87">
        <v>5</v>
      </c>
      <c r="AS92" s="87">
        <v>5</v>
      </c>
      <c r="AT92" s="87">
        <v>1</v>
      </c>
      <c r="AU92" s="87">
        <v>1.3</v>
      </c>
      <c r="AV92" s="87">
        <v>1</v>
      </c>
      <c r="AW92" s="87">
        <f t="shared" si="141"/>
        <v>38.400000000000006</v>
      </c>
      <c r="AX92" s="87">
        <f t="shared" si="142"/>
        <v>25.6</v>
      </c>
      <c r="AY92" s="91">
        <f t="shared" si="143"/>
        <v>51.20000000000001</v>
      </c>
      <c r="AZ92" s="91">
        <f t="shared" si="144"/>
        <v>96.17537135489492</v>
      </c>
      <c r="BA92" s="91"/>
      <c r="BB92" s="73">
        <v>0.02</v>
      </c>
      <c r="BC92" s="73">
        <f t="shared" si="146"/>
        <v>94.25186392779702</v>
      </c>
      <c r="BD92" s="73">
        <v>4.840412061378459</v>
      </c>
      <c r="BE92" s="87">
        <v>5.7504095289176105</v>
      </c>
      <c r="BF92" s="42"/>
      <c r="BG92" s="42"/>
      <c r="BH92" s="92">
        <v>548</v>
      </c>
      <c r="BI92" s="92">
        <f t="shared" si="147"/>
        <v>192</v>
      </c>
      <c r="BJ92" s="92">
        <f t="shared" si="148"/>
        <v>5.333333333333333</v>
      </c>
      <c r="BK92" s="87">
        <f t="shared" si="149"/>
        <v>32</v>
      </c>
      <c r="BL92" s="87">
        <v>8</v>
      </c>
      <c r="BM92" s="87">
        <v>6</v>
      </c>
      <c r="BN92" s="87">
        <v>1</v>
      </c>
      <c r="BO92" s="93">
        <f t="shared" si="150"/>
        <v>16.695652173913043</v>
      </c>
      <c r="BP92" s="92">
        <f t="shared" si="151"/>
        <v>3973.42719967613</v>
      </c>
      <c r="BQ92" s="42"/>
      <c r="BR92" s="92">
        <v>375</v>
      </c>
      <c r="BS92" s="92">
        <f t="shared" si="152"/>
        <v>192</v>
      </c>
      <c r="BT92" s="92">
        <f t="shared" si="153"/>
        <v>5.333333333333333</v>
      </c>
      <c r="BU92" s="92">
        <f t="shared" si="154"/>
        <v>32</v>
      </c>
      <c r="BV92" s="92">
        <v>8</v>
      </c>
      <c r="BW92" s="92">
        <v>6</v>
      </c>
      <c r="BX92" s="92">
        <v>1</v>
      </c>
      <c r="BY92" s="93">
        <f t="shared" si="155"/>
        <v>16.695652173913043</v>
      </c>
      <c r="BZ92" s="73">
        <f t="shared" si="156"/>
        <v>4707.33766815068</v>
      </c>
      <c r="CA92" s="42"/>
      <c r="CB92" s="92">
        <v>783</v>
      </c>
      <c r="CC92" s="92">
        <f t="shared" si="157"/>
        <v>192</v>
      </c>
      <c r="CD92" s="92">
        <f t="shared" si="158"/>
        <v>5.333333333333333</v>
      </c>
      <c r="CE92" s="92">
        <f t="shared" si="159"/>
        <v>32</v>
      </c>
      <c r="CF92" s="92">
        <v>8</v>
      </c>
      <c r="CG92" s="92">
        <v>6</v>
      </c>
      <c r="CH92" s="92">
        <v>4</v>
      </c>
      <c r="CI92" s="93">
        <f t="shared" si="160"/>
        <v>15.483870967741934</v>
      </c>
      <c r="CJ92" s="73">
        <f t="shared" si="161"/>
        <v>5327.148157259909</v>
      </c>
      <c r="CK92" s="42"/>
      <c r="CL92" s="92">
        <v>353</v>
      </c>
      <c r="CM92" s="92">
        <f t="shared" si="162"/>
        <v>192</v>
      </c>
      <c r="CN92" s="92">
        <f t="shared" si="163"/>
        <v>5.333333333333333</v>
      </c>
      <c r="CO92" s="92">
        <f t="shared" si="164"/>
        <v>32</v>
      </c>
      <c r="CP92" s="92">
        <v>8</v>
      </c>
      <c r="CQ92" s="92">
        <v>6</v>
      </c>
      <c r="CR92" s="92">
        <v>1</v>
      </c>
      <c r="CS92" s="93">
        <f t="shared" si="165"/>
        <v>16.695652173913043</v>
      </c>
      <c r="CT92" s="73">
        <f t="shared" si="202"/>
        <v>5600.388448613102</v>
      </c>
      <c r="CU92" s="42"/>
      <c r="CV92" s="92">
        <v>472</v>
      </c>
      <c r="CW92" s="92">
        <f t="shared" si="167"/>
        <v>192</v>
      </c>
      <c r="CX92" s="92">
        <f t="shared" si="168"/>
        <v>5.333333333333333</v>
      </c>
      <c r="CY92" s="92">
        <f t="shared" si="192"/>
        <v>32</v>
      </c>
      <c r="CZ92" s="92">
        <v>8</v>
      </c>
      <c r="DA92" s="92">
        <v>6</v>
      </c>
      <c r="DB92" s="92">
        <v>1</v>
      </c>
      <c r="DC92" s="93">
        <f t="shared" si="169"/>
        <v>16.695652173913043</v>
      </c>
      <c r="DD92" s="73">
        <f t="shared" si="203"/>
        <v>4794.309889740646</v>
      </c>
      <c r="DE92" s="42"/>
      <c r="DF92" s="73">
        <v>1888</v>
      </c>
      <c r="DG92" s="73">
        <f t="shared" si="171"/>
        <v>192</v>
      </c>
      <c r="DH92" s="73">
        <f t="shared" si="172"/>
        <v>5.333333333333333</v>
      </c>
      <c r="DI92" s="73">
        <f t="shared" si="173"/>
        <v>32</v>
      </c>
      <c r="DJ92" s="92">
        <v>8</v>
      </c>
      <c r="DK92" s="92">
        <v>6</v>
      </c>
      <c r="DL92" s="92">
        <v>1</v>
      </c>
      <c r="DM92" s="93">
        <f t="shared" si="174"/>
        <v>16.695652173913043</v>
      </c>
      <c r="DN92" s="73">
        <f t="shared" si="204"/>
        <v>4864.814446942714</v>
      </c>
      <c r="DO92" s="42"/>
      <c r="DP92" s="92">
        <v>445</v>
      </c>
      <c r="DQ92" s="73">
        <f t="shared" si="176"/>
        <v>192</v>
      </c>
      <c r="DR92" s="92">
        <f t="shared" si="177"/>
        <v>18.75</v>
      </c>
      <c r="DS92" s="73">
        <f t="shared" si="178"/>
        <v>32</v>
      </c>
      <c r="DT92" s="92">
        <v>8</v>
      </c>
      <c r="DU92" s="92">
        <v>6</v>
      </c>
      <c r="DV92" s="92">
        <v>1</v>
      </c>
      <c r="DW92" s="93">
        <f t="shared" si="179"/>
        <v>50.90137857900318</v>
      </c>
      <c r="DX92" s="92">
        <f t="shared" si="180"/>
        <v>6690.578739761652</v>
      </c>
      <c r="DY92" s="42"/>
      <c r="DZ92" s="73">
        <v>587</v>
      </c>
      <c r="EA92" s="92">
        <f t="shared" si="181"/>
        <v>192</v>
      </c>
      <c r="EB92" s="92">
        <f t="shared" si="182"/>
        <v>5.333333333333333</v>
      </c>
      <c r="EC92" s="92">
        <f t="shared" si="183"/>
        <v>32</v>
      </c>
      <c r="ED92" s="92">
        <v>8</v>
      </c>
      <c r="EE92" s="92">
        <v>6</v>
      </c>
      <c r="EF92" s="92">
        <v>1</v>
      </c>
      <c r="EG92" s="93">
        <f t="shared" si="184"/>
        <v>16.695652173913043</v>
      </c>
      <c r="EH92" s="92">
        <f t="shared" si="185"/>
        <v>5381.35433529482</v>
      </c>
      <c r="EI92" s="42"/>
      <c r="EJ92" s="92">
        <v>450</v>
      </c>
      <c r="EK92" s="73">
        <f t="shared" si="193"/>
        <v>8</v>
      </c>
      <c r="EL92" s="73">
        <f t="shared" si="194"/>
        <v>5.333333333333333</v>
      </c>
      <c r="EM92" s="73">
        <f t="shared" si="195"/>
        <v>12.8</v>
      </c>
      <c r="EN92" s="92">
        <v>8</v>
      </c>
      <c r="EO92" s="92">
        <v>6</v>
      </c>
      <c r="EP92" s="92">
        <v>1</v>
      </c>
      <c r="EQ92" s="93">
        <f t="shared" si="186"/>
        <v>9.078014184397164</v>
      </c>
      <c r="ER92" s="73">
        <f t="shared" si="187"/>
        <v>4561.44994621033</v>
      </c>
      <c r="ES92" s="42"/>
      <c r="ET92" s="142">
        <v>0</v>
      </c>
      <c r="EU92" s="142">
        <v>0</v>
      </c>
      <c r="EV92" s="142">
        <v>6</v>
      </c>
      <c r="EW92" s="142">
        <v>39.8</v>
      </c>
      <c r="EX92" s="142">
        <v>0</v>
      </c>
      <c r="EY92" s="142">
        <v>0</v>
      </c>
      <c r="EZ92" s="142">
        <v>0</v>
      </c>
      <c r="FA92" s="142">
        <v>4.8</v>
      </c>
      <c r="FB92" s="142">
        <v>49.4</v>
      </c>
      <c r="FC92" s="92">
        <f t="shared" si="188"/>
        <v>4944.662198023469</v>
      </c>
      <c r="FE92" s="142">
        <v>611</v>
      </c>
      <c r="FF92" s="167">
        <f t="shared" si="196"/>
        <v>192</v>
      </c>
      <c r="FG92" s="167">
        <f t="shared" si="197"/>
        <v>5.333333333333333</v>
      </c>
      <c r="FH92" s="167">
        <f t="shared" si="199"/>
        <v>32</v>
      </c>
      <c r="FI92" s="167">
        <v>8</v>
      </c>
      <c r="FJ92" s="167">
        <v>6</v>
      </c>
      <c r="FK92" s="142">
        <v>1</v>
      </c>
      <c r="FL92" s="142">
        <f t="shared" si="198"/>
        <v>16.695652173913043</v>
      </c>
      <c r="FM92" s="142">
        <f t="shared" si="207"/>
        <v>4591.304347826087</v>
      </c>
    </row>
    <row r="93" spans="1:169" s="4" customFormat="1" ht="17.25">
      <c r="A93" s="105">
        <v>86</v>
      </c>
      <c r="B93" s="94" t="s">
        <v>36</v>
      </c>
      <c r="C93" s="75">
        <v>1</v>
      </c>
      <c r="D93" s="94">
        <v>3</v>
      </c>
      <c r="E93" s="75">
        <v>738</v>
      </c>
      <c r="F93" s="75">
        <v>2200</v>
      </c>
      <c r="G93" s="75">
        <v>1836</v>
      </c>
      <c r="H93" s="94">
        <v>256</v>
      </c>
      <c r="I93" s="72">
        <f t="shared" si="208"/>
        <v>64</v>
      </c>
      <c r="J93" s="94">
        <v>64</v>
      </c>
      <c r="K93" s="94">
        <v>16</v>
      </c>
      <c r="L93" s="100" t="s">
        <v>30</v>
      </c>
      <c r="M93" s="94">
        <f>J93*2</f>
        <v>128</v>
      </c>
      <c r="N93" s="100" t="s">
        <v>30</v>
      </c>
      <c r="O93" s="94" t="s">
        <v>21</v>
      </c>
      <c r="P93" s="77">
        <f t="shared" si="135"/>
        <v>317.18845046650694</v>
      </c>
      <c r="Q93" s="78">
        <f t="shared" si="200"/>
        <v>6055.780030975198</v>
      </c>
      <c r="R93" s="78">
        <f t="shared" si="191"/>
        <v>5604.226983475078</v>
      </c>
      <c r="S93" s="89">
        <v>512</v>
      </c>
      <c r="T93" s="102">
        <v>50</v>
      </c>
      <c r="U93" s="102">
        <v>160</v>
      </c>
      <c r="V93" s="94" t="s">
        <v>37</v>
      </c>
      <c r="W93" s="94" t="s">
        <v>38</v>
      </c>
      <c r="X93" s="14" t="s">
        <v>39</v>
      </c>
      <c r="Y93" s="94" t="s">
        <v>40</v>
      </c>
      <c r="Z93" s="81">
        <v>10.5</v>
      </c>
      <c r="AA93" s="124" t="s">
        <v>559</v>
      </c>
      <c r="AB93" s="94">
        <v>10</v>
      </c>
      <c r="AC93" s="96">
        <v>3</v>
      </c>
      <c r="AD93" s="97">
        <v>296</v>
      </c>
      <c r="AE93" s="98">
        <f t="shared" si="209"/>
        <v>754</v>
      </c>
      <c r="AF93" s="99">
        <v>55</v>
      </c>
      <c r="AG93" s="94"/>
      <c r="AH93" s="42"/>
      <c r="AI93" s="73">
        <f t="shared" si="136"/>
        <v>47.232</v>
      </c>
      <c r="AJ93" s="42">
        <f t="shared" si="137"/>
        <v>47.232</v>
      </c>
      <c r="AK93" s="42">
        <f t="shared" si="138"/>
        <v>11.808</v>
      </c>
      <c r="AL93" s="73">
        <f t="shared" si="139"/>
        <v>78.336</v>
      </c>
      <c r="AM93" s="92">
        <f t="shared" si="189"/>
        <v>70.4</v>
      </c>
      <c r="AN93" s="92">
        <f aca="true" t="shared" si="210" ref="AN93:AN120">POWER(INT(MIN(C93,D93)),0.4)+LN(INT(MIN(C93,D93)))*0.63</f>
        <v>1</v>
      </c>
      <c r="AO93" s="73">
        <v>2</v>
      </c>
      <c r="AP93" s="73">
        <v>1</v>
      </c>
      <c r="AQ93" s="73">
        <v>1</v>
      </c>
      <c r="AR93" s="87">
        <v>5</v>
      </c>
      <c r="AS93" s="87">
        <v>5</v>
      </c>
      <c r="AT93" s="73">
        <v>1</v>
      </c>
      <c r="AU93" s="73">
        <v>1.3</v>
      </c>
      <c r="AV93" s="73">
        <v>1</v>
      </c>
      <c r="AW93" s="73">
        <f t="shared" si="141"/>
        <v>47.232000000000006</v>
      </c>
      <c r="AX93" s="73">
        <f t="shared" si="142"/>
        <v>31.488000000000007</v>
      </c>
      <c r="AY93" s="42">
        <f t="shared" si="143"/>
        <v>62.77086644951141</v>
      </c>
      <c r="AZ93" s="42">
        <f t="shared" si="144"/>
        <v>66.86655599674793</v>
      </c>
      <c r="BA93" s="42"/>
      <c r="BB93" s="73">
        <v>0.02</v>
      </c>
      <c r="BC93" s="73">
        <f t="shared" si="146"/>
        <v>65.52922487681298</v>
      </c>
      <c r="BD93" s="73">
        <v>4.840412061378459</v>
      </c>
      <c r="BE93" s="87">
        <v>5.7504095289176105</v>
      </c>
      <c r="BF93" s="42"/>
      <c r="BG93" s="42"/>
      <c r="BH93" s="92">
        <v>548</v>
      </c>
      <c r="BI93" s="92">
        <f t="shared" si="147"/>
        <v>236.16</v>
      </c>
      <c r="BJ93" s="92">
        <f t="shared" si="148"/>
        <v>6.528</v>
      </c>
      <c r="BK93" s="87">
        <f t="shared" si="149"/>
        <v>35.2</v>
      </c>
      <c r="BL93" s="87">
        <v>8</v>
      </c>
      <c r="BM93" s="87">
        <v>6</v>
      </c>
      <c r="BN93" s="87">
        <v>1</v>
      </c>
      <c r="BO93" s="93">
        <f t="shared" si="150"/>
        <v>20.379007212636647</v>
      </c>
      <c r="BP93" s="92">
        <f t="shared" si="151"/>
        <v>4928.006429927857</v>
      </c>
      <c r="BQ93" s="42"/>
      <c r="BR93" s="92">
        <v>375</v>
      </c>
      <c r="BS93" s="92">
        <f t="shared" si="152"/>
        <v>236.16</v>
      </c>
      <c r="BT93" s="92">
        <f t="shared" si="153"/>
        <v>6.528</v>
      </c>
      <c r="BU93" s="92">
        <f t="shared" si="154"/>
        <v>35.2</v>
      </c>
      <c r="BV93" s="92">
        <v>8</v>
      </c>
      <c r="BW93" s="92">
        <v>6</v>
      </c>
      <c r="BX93" s="92">
        <v>1</v>
      </c>
      <c r="BY93" s="93">
        <f t="shared" si="155"/>
        <v>20.379007212636647</v>
      </c>
      <c r="BZ93" s="73">
        <f t="shared" si="156"/>
        <v>5734.415937720969</v>
      </c>
      <c r="CA93" s="42"/>
      <c r="CB93" s="92">
        <v>783</v>
      </c>
      <c r="CC93" s="92">
        <f t="shared" si="157"/>
        <v>236.16</v>
      </c>
      <c r="CD93" s="92">
        <f t="shared" si="158"/>
        <v>6.528</v>
      </c>
      <c r="CE93" s="92">
        <f t="shared" si="159"/>
        <v>35.2</v>
      </c>
      <c r="CF93" s="92">
        <v>8</v>
      </c>
      <c r="CG93" s="92">
        <v>6</v>
      </c>
      <c r="CH93" s="92">
        <v>4</v>
      </c>
      <c r="CI93" s="93">
        <f t="shared" si="160"/>
        <v>18.750655989673998</v>
      </c>
      <c r="CJ93" s="73">
        <f t="shared" si="161"/>
        <v>6513.111965464634</v>
      </c>
      <c r="CK93" s="42"/>
      <c r="CL93" s="92">
        <v>353</v>
      </c>
      <c r="CM93" s="92">
        <f t="shared" si="162"/>
        <v>236.16</v>
      </c>
      <c r="CN93" s="92">
        <f t="shared" si="163"/>
        <v>6.528</v>
      </c>
      <c r="CO93" s="92">
        <f t="shared" si="164"/>
        <v>35.2</v>
      </c>
      <c r="CP93" s="92">
        <v>8</v>
      </c>
      <c r="CQ93" s="92">
        <v>6</v>
      </c>
      <c r="CR93" s="92">
        <v>1</v>
      </c>
      <c r="CS93" s="93">
        <f t="shared" si="165"/>
        <v>20.379007212636647</v>
      </c>
      <c r="CT93" s="73">
        <f t="shared" si="202"/>
        <v>6795.171103076512</v>
      </c>
      <c r="CU93" s="42"/>
      <c r="CV93" s="92">
        <v>472</v>
      </c>
      <c r="CW93" s="92">
        <f t="shared" si="167"/>
        <v>236.16</v>
      </c>
      <c r="CX93" s="92">
        <f t="shared" si="168"/>
        <v>6.528</v>
      </c>
      <c r="CY93" s="92">
        <f t="shared" si="192"/>
        <v>35.2</v>
      </c>
      <c r="CZ93" s="92">
        <v>8</v>
      </c>
      <c r="DA93" s="92">
        <v>6</v>
      </c>
      <c r="DB93" s="92">
        <v>1</v>
      </c>
      <c r="DC93" s="93">
        <f t="shared" si="169"/>
        <v>20.379007212636647</v>
      </c>
      <c r="DD93" s="73">
        <f t="shared" si="203"/>
        <v>5782.43765075338</v>
      </c>
      <c r="DE93" s="42"/>
      <c r="DF93" s="73">
        <v>1888</v>
      </c>
      <c r="DG93" s="73">
        <f t="shared" si="171"/>
        <v>236.16</v>
      </c>
      <c r="DH93" s="73">
        <f t="shared" si="172"/>
        <v>6.528</v>
      </c>
      <c r="DI93" s="73">
        <f t="shared" si="173"/>
        <v>35.2</v>
      </c>
      <c r="DJ93" s="92">
        <v>8</v>
      </c>
      <c r="DK93" s="92">
        <v>6</v>
      </c>
      <c r="DL93" s="92">
        <v>1</v>
      </c>
      <c r="DM93" s="93">
        <f t="shared" si="174"/>
        <v>20.379007212636647</v>
      </c>
      <c r="DN93" s="73">
        <f t="shared" si="204"/>
        <v>5867.4734985585765</v>
      </c>
      <c r="DO93" s="42"/>
      <c r="DP93" s="92">
        <v>445</v>
      </c>
      <c r="DQ93" s="73">
        <f t="shared" si="176"/>
        <v>236.16</v>
      </c>
      <c r="DR93" s="92">
        <f t="shared" si="177"/>
        <v>28.0908</v>
      </c>
      <c r="DS93" s="73">
        <f t="shared" si="178"/>
        <v>35.2</v>
      </c>
      <c r="DT93" s="92">
        <v>8</v>
      </c>
      <c r="DU93" s="92">
        <v>6</v>
      </c>
      <c r="DV93" s="92">
        <v>1</v>
      </c>
      <c r="DW93" s="93">
        <f t="shared" si="179"/>
        <v>72.49594681835998</v>
      </c>
      <c r="DX93" s="92">
        <f t="shared" si="180"/>
        <v>9263.201969252697</v>
      </c>
      <c r="DY93" s="42"/>
      <c r="DZ93" s="73">
        <v>587</v>
      </c>
      <c r="EA93" s="92">
        <f t="shared" si="181"/>
        <v>236.16</v>
      </c>
      <c r="EB93" s="92">
        <f t="shared" si="182"/>
        <v>6.528</v>
      </c>
      <c r="EC93" s="92">
        <f t="shared" si="183"/>
        <v>35.2</v>
      </c>
      <c r="ED93" s="92">
        <v>8</v>
      </c>
      <c r="EE93" s="92">
        <v>6</v>
      </c>
      <c r="EF93" s="92">
        <v>1</v>
      </c>
      <c r="EG93" s="93">
        <f t="shared" si="184"/>
        <v>20.379007212636647</v>
      </c>
      <c r="EH93" s="92">
        <f t="shared" si="185"/>
        <v>6634.377897364245</v>
      </c>
      <c r="EI93" s="42"/>
      <c r="EJ93" s="92">
        <v>450</v>
      </c>
      <c r="EK93" s="73">
        <f t="shared" si="193"/>
        <v>9.84</v>
      </c>
      <c r="EL93" s="73">
        <f t="shared" si="194"/>
        <v>6.528</v>
      </c>
      <c r="EM93" s="73">
        <f t="shared" si="195"/>
        <v>14.080000000000002</v>
      </c>
      <c r="EN93" s="92">
        <v>8</v>
      </c>
      <c r="EO93" s="92">
        <v>6</v>
      </c>
      <c r="EP93" s="92">
        <v>1</v>
      </c>
      <c r="EQ93" s="93">
        <f t="shared" si="186"/>
        <v>11.09170983479948</v>
      </c>
      <c r="ER93" s="73">
        <f t="shared" si="187"/>
        <v>5629.384829753678</v>
      </c>
      <c r="ES93" s="42"/>
      <c r="ET93" s="142">
        <v>0</v>
      </c>
      <c r="EU93" s="142">
        <v>0</v>
      </c>
      <c r="EV93" s="142">
        <v>6</v>
      </c>
      <c r="EW93" s="142">
        <v>39.8</v>
      </c>
      <c r="EX93" s="142">
        <v>0</v>
      </c>
      <c r="EY93" s="142">
        <v>0</v>
      </c>
      <c r="EZ93" s="142">
        <v>0</v>
      </c>
      <c r="FA93" s="142">
        <v>4.8</v>
      </c>
      <c r="FB93" s="142">
        <v>49.4</v>
      </c>
      <c r="FC93" s="92">
        <f t="shared" si="188"/>
        <v>6055.780030975198</v>
      </c>
      <c r="FE93" s="142">
        <v>611</v>
      </c>
      <c r="FF93" s="167">
        <f t="shared" si="196"/>
        <v>236.16</v>
      </c>
      <c r="FG93" s="167">
        <f t="shared" si="197"/>
        <v>6.528</v>
      </c>
      <c r="FH93" s="167">
        <f t="shared" si="199"/>
        <v>35.2</v>
      </c>
      <c r="FI93" s="167">
        <v>8</v>
      </c>
      <c r="FJ93" s="167">
        <v>6</v>
      </c>
      <c r="FK93" s="142">
        <v>1</v>
      </c>
      <c r="FL93" s="142">
        <f t="shared" si="198"/>
        <v>20.379007212636647</v>
      </c>
      <c r="FM93" s="142">
        <f t="shared" si="207"/>
        <v>5604.226983475078</v>
      </c>
    </row>
    <row r="94" spans="1:169" s="4" customFormat="1" ht="17.25">
      <c r="A94" s="105">
        <v>87</v>
      </c>
      <c r="B94" s="94" t="s">
        <v>476</v>
      </c>
      <c r="C94" s="75">
        <v>1</v>
      </c>
      <c r="D94" s="94">
        <v>3</v>
      </c>
      <c r="E94" s="75">
        <v>675</v>
      </c>
      <c r="F94" s="75">
        <v>2200</v>
      </c>
      <c r="G94" s="75">
        <v>1688</v>
      </c>
      <c r="H94" s="94">
        <v>256</v>
      </c>
      <c r="I94" s="72">
        <f t="shared" si="208"/>
        <v>64</v>
      </c>
      <c r="J94" s="94">
        <v>64</v>
      </c>
      <c r="K94" s="94">
        <v>16</v>
      </c>
      <c r="L94" s="100" t="s">
        <v>30</v>
      </c>
      <c r="M94" s="94">
        <f>J94*2</f>
        <v>128</v>
      </c>
      <c r="N94" s="100" t="s">
        <v>30</v>
      </c>
      <c r="O94" s="94" t="s">
        <v>21</v>
      </c>
      <c r="P94" s="77">
        <f t="shared" si="135"/>
        <v>304.5559704959321</v>
      </c>
      <c r="Q94" s="78">
        <f t="shared" si="200"/>
        <v>5571.0793488629315</v>
      </c>
      <c r="R94" s="78">
        <f t="shared" si="191"/>
        <v>5163.592373005143</v>
      </c>
      <c r="S94" s="89">
        <v>512</v>
      </c>
      <c r="T94" s="102">
        <v>60</v>
      </c>
      <c r="U94" s="102">
        <v>180</v>
      </c>
      <c r="V94" s="94" t="s">
        <v>37</v>
      </c>
      <c r="W94" s="94" t="s">
        <v>38</v>
      </c>
      <c r="X94" s="14" t="s">
        <v>39</v>
      </c>
      <c r="Y94" s="94" t="s">
        <v>40</v>
      </c>
      <c r="Z94" s="81">
        <v>10.5</v>
      </c>
      <c r="AA94" s="124" t="s">
        <v>559</v>
      </c>
      <c r="AB94" s="94">
        <v>10</v>
      </c>
      <c r="AC94" s="96">
        <v>3</v>
      </c>
      <c r="AD94" s="97">
        <v>334</v>
      </c>
      <c r="AE94" s="98">
        <f t="shared" si="209"/>
        <v>754</v>
      </c>
      <c r="AF94" s="99">
        <v>65</v>
      </c>
      <c r="AG94" s="94"/>
      <c r="AH94" s="91"/>
      <c r="AI94" s="87">
        <f t="shared" si="136"/>
        <v>43.2</v>
      </c>
      <c r="AJ94" s="91">
        <f t="shared" si="137"/>
        <v>43.2</v>
      </c>
      <c r="AK94" s="91">
        <f t="shared" si="138"/>
        <v>10.8</v>
      </c>
      <c r="AL94" s="87">
        <f t="shared" si="139"/>
        <v>72.02133333333333</v>
      </c>
      <c r="AM94" s="92">
        <f t="shared" si="189"/>
        <v>70.4</v>
      </c>
      <c r="AN94" s="92">
        <f t="shared" si="210"/>
        <v>1</v>
      </c>
      <c r="AO94" s="87">
        <v>2</v>
      </c>
      <c r="AP94" s="87">
        <v>1</v>
      </c>
      <c r="AQ94" s="87">
        <v>1</v>
      </c>
      <c r="AR94" s="87">
        <v>5</v>
      </c>
      <c r="AS94" s="87">
        <v>5</v>
      </c>
      <c r="AT94" s="87">
        <v>1</v>
      </c>
      <c r="AU94" s="87">
        <v>1.3</v>
      </c>
      <c r="AV94" s="87">
        <v>1</v>
      </c>
      <c r="AW94" s="87">
        <f t="shared" si="141"/>
        <v>43.2</v>
      </c>
      <c r="AX94" s="87">
        <f t="shared" si="142"/>
        <v>28.800000000000004</v>
      </c>
      <c r="AY94" s="91">
        <f t="shared" si="143"/>
        <v>57.61137665415761</v>
      </c>
      <c r="AZ94" s="91">
        <f t="shared" si="144"/>
        <v>64.20350055419351</v>
      </c>
      <c r="BA94" s="91"/>
      <c r="BB94" s="73">
        <v>0.02</v>
      </c>
      <c r="BC94" s="73">
        <f t="shared" si="146"/>
        <v>62.91943054310964</v>
      </c>
      <c r="BD94" s="73">
        <v>4.840412061378459</v>
      </c>
      <c r="BE94" s="87">
        <v>5.7504095289176105</v>
      </c>
      <c r="BF94" s="42"/>
      <c r="BG94" s="42"/>
      <c r="BH94" s="92">
        <v>548</v>
      </c>
      <c r="BI94" s="92">
        <f t="shared" si="147"/>
        <v>216</v>
      </c>
      <c r="BJ94" s="92">
        <f t="shared" si="148"/>
        <v>6.001777777777778</v>
      </c>
      <c r="BK94" s="87">
        <f t="shared" si="149"/>
        <v>35.2</v>
      </c>
      <c r="BL94" s="87">
        <v>8</v>
      </c>
      <c r="BM94" s="87">
        <v>6</v>
      </c>
      <c r="BN94" s="87">
        <v>1</v>
      </c>
      <c r="BO94" s="93">
        <f t="shared" si="150"/>
        <v>18.776699538200518</v>
      </c>
      <c r="BP94" s="92">
        <f t="shared" si="151"/>
        <v>4510.89167793297</v>
      </c>
      <c r="BQ94" s="42"/>
      <c r="BR94" s="92">
        <v>375</v>
      </c>
      <c r="BS94" s="92">
        <f t="shared" si="152"/>
        <v>216</v>
      </c>
      <c r="BT94" s="92">
        <f t="shared" si="153"/>
        <v>6.001777777777778</v>
      </c>
      <c r="BU94" s="92">
        <f t="shared" si="154"/>
        <v>35.2</v>
      </c>
      <c r="BV94" s="92">
        <v>8</v>
      </c>
      <c r="BW94" s="92">
        <v>6</v>
      </c>
      <c r="BX94" s="92">
        <v>1</v>
      </c>
      <c r="BY94" s="93">
        <f t="shared" si="155"/>
        <v>18.776699538200518</v>
      </c>
      <c r="BZ94" s="73">
        <f t="shared" si="156"/>
        <v>5287.873561178327</v>
      </c>
      <c r="CA94" s="42"/>
      <c r="CB94" s="92">
        <v>783</v>
      </c>
      <c r="CC94" s="92">
        <f t="shared" si="157"/>
        <v>216</v>
      </c>
      <c r="CD94" s="92">
        <f t="shared" si="158"/>
        <v>6.001777777777778</v>
      </c>
      <c r="CE94" s="92">
        <f t="shared" si="159"/>
        <v>35.2</v>
      </c>
      <c r="CF94" s="92">
        <v>8</v>
      </c>
      <c r="CG94" s="92">
        <v>6</v>
      </c>
      <c r="CH94" s="92">
        <v>4</v>
      </c>
      <c r="CI94" s="93">
        <f t="shared" si="160"/>
        <v>17.385601989161223</v>
      </c>
      <c r="CJ94" s="73">
        <f t="shared" si="161"/>
        <v>6016.175190909401</v>
      </c>
      <c r="CK94" s="42"/>
      <c r="CL94" s="92">
        <v>353</v>
      </c>
      <c r="CM94" s="92">
        <f t="shared" si="162"/>
        <v>216</v>
      </c>
      <c r="CN94" s="92">
        <f t="shared" si="163"/>
        <v>6.001777777777778</v>
      </c>
      <c r="CO94" s="92">
        <f t="shared" si="164"/>
        <v>35.2</v>
      </c>
      <c r="CP94" s="92">
        <v>8</v>
      </c>
      <c r="CQ94" s="92">
        <v>6</v>
      </c>
      <c r="CR94" s="92">
        <v>1</v>
      </c>
      <c r="CS94" s="93">
        <f t="shared" si="165"/>
        <v>18.776699538200518</v>
      </c>
      <c r="CT94" s="73">
        <f t="shared" si="202"/>
        <v>6276.297823213448</v>
      </c>
      <c r="CU94" s="42"/>
      <c r="CV94" s="92">
        <v>472</v>
      </c>
      <c r="CW94" s="92">
        <f t="shared" si="167"/>
        <v>216</v>
      </c>
      <c r="CX94" s="92">
        <f t="shared" si="168"/>
        <v>6.001777777777778</v>
      </c>
      <c r="CY94" s="92">
        <f t="shared" si="192"/>
        <v>35.2</v>
      </c>
      <c r="CZ94" s="92">
        <v>8</v>
      </c>
      <c r="DA94" s="92">
        <v>6</v>
      </c>
      <c r="DB94" s="92">
        <v>1</v>
      </c>
      <c r="DC94" s="93">
        <f t="shared" si="169"/>
        <v>18.776699538200518</v>
      </c>
      <c r="DD94" s="73">
        <f t="shared" si="203"/>
        <v>5354.0326891170425</v>
      </c>
      <c r="DE94" s="42"/>
      <c r="DF94" s="73">
        <v>1888</v>
      </c>
      <c r="DG94" s="73">
        <f t="shared" si="171"/>
        <v>216</v>
      </c>
      <c r="DH94" s="73">
        <f t="shared" si="172"/>
        <v>6.001777777777778</v>
      </c>
      <c r="DI94" s="73">
        <f t="shared" si="173"/>
        <v>35.2</v>
      </c>
      <c r="DJ94" s="92">
        <v>8</v>
      </c>
      <c r="DK94" s="92">
        <v>6</v>
      </c>
      <c r="DL94" s="92">
        <v>1</v>
      </c>
      <c r="DM94" s="93">
        <f t="shared" si="174"/>
        <v>18.776699538200518</v>
      </c>
      <c r="DN94" s="73">
        <f t="shared" si="204"/>
        <v>5432.768463956999</v>
      </c>
      <c r="DO94" s="42"/>
      <c r="DP94" s="92">
        <v>445</v>
      </c>
      <c r="DQ94" s="73">
        <f t="shared" si="176"/>
        <v>216</v>
      </c>
      <c r="DR94" s="92">
        <f t="shared" si="177"/>
        <v>23.744533333333333</v>
      </c>
      <c r="DS94" s="73">
        <f t="shared" si="178"/>
        <v>35.2</v>
      </c>
      <c r="DT94" s="92">
        <v>8</v>
      </c>
      <c r="DU94" s="92">
        <v>6</v>
      </c>
      <c r="DV94" s="92">
        <v>1</v>
      </c>
      <c r="DW94" s="93">
        <f t="shared" si="179"/>
        <v>62.86622130489317</v>
      </c>
      <c r="DX94" s="92">
        <f t="shared" si="180"/>
        <v>8124.870985681397</v>
      </c>
      <c r="DY94" s="42"/>
      <c r="DZ94" s="73">
        <v>587</v>
      </c>
      <c r="EA94" s="92">
        <f t="shared" si="181"/>
        <v>216</v>
      </c>
      <c r="EB94" s="92">
        <f t="shared" si="182"/>
        <v>6.001777777777778</v>
      </c>
      <c r="EC94" s="92">
        <f t="shared" si="183"/>
        <v>35.2</v>
      </c>
      <c r="ED94" s="92">
        <v>8</v>
      </c>
      <c r="EE94" s="92">
        <v>6</v>
      </c>
      <c r="EF94" s="92">
        <v>1</v>
      </c>
      <c r="EG94" s="93">
        <f t="shared" si="184"/>
        <v>18.776699538200518</v>
      </c>
      <c r="EH94" s="92">
        <f t="shared" si="185"/>
        <v>6087.770208321268</v>
      </c>
      <c r="EI94" s="42"/>
      <c r="EJ94" s="92">
        <v>450</v>
      </c>
      <c r="EK94" s="73">
        <f t="shared" si="193"/>
        <v>9</v>
      </c>
      <c r="EL94" s="73">
        <f t="shared" si="194"/>
        <v>6.001777777777778</v>
      </c>
      <c r="EM94" s="73">
        <f t="shared" si="195"/>
        <v>14.080000000000002</v>
      </c>
      <c r="EN94" s="92">
        <v>8</v>
      </c>
      <c r="EO94" s="92">
        <v>6</v>
      </c>
      <c r="EP94" s="92">
        <v>1</v>
      </c>
      <c r="EQ94" s="93">
        <f t="shared" si="186"/>
        <v>10.206084276598002</v>
      </c>
      <c r="ER94" s="73">
        <f t="shared" si="187"/>
        <v>5158.395316495132</v>
      </c>
      <c r="ES94" s="42"/>
      <c r="ET94" s="142">
        <v>0</v>
      </c>
      <c r="EU94" s="142">
        <v>0</v>
      </c>
      <c r="EV94" s="142">
        <v>6</v>
      </c>
      <c r="EW94" s="142">
        <v>39.8</v>
      </c>
      <c r="EX94" s="142">
        <v>0</v>
      </c>
      <c r="EY94" s="142">
        <v>0</v>
      </c>
      <c r="EZ94" s="142">
        <v>0</v>
      </c>
      <c r="FA94" s="142">
        <v>4.8</v>
      </c>
      <c r="FB94" s="142">
        <v>49.4</v>
      </c>
      <c r="FC94" s="92">
        <f t="shared" si="188"/>
        <v>5571.0793488629315</v>
      </c>
      <c r="FE94" s="142">
        <v>611</v>
      </c>
      <c r="FF94" s="167">
        <f t="shared" si="196"/>
        <v>216</v>
      </c>
      <c r="FG94" s="167">
        <f t="shared" si="197"/>
        <v>6.001777777777778</v>
      </c>
      <c r="FH94" s="167">
        <f t="shared" si="199"/>
        <v>35.2</v>
      </c>
      <c r="FI94" s="167">
        <v>8</v>
      </c>
      <c r="FJ94" s="167">
        <v>6</v>
      </c>
      <c r="FK94" s="142">
        <v>1</v>
      </c>
      <c r="FL94" s="142">
        <f t="shared" si="198"/>
        <v>18.776699538200518</v>
      </c>
      <c r="FM94" s="142">
        <f t="shared" si="207"/>
        <v>5163.592373005143</v>
      </c>
    </row>
    <row r="95" spans="1:169" s="17" customFormat="1" ht="17.25">
      <c r="A95" s="105">
        <v>88</v>
      </c>
      <c r="B95" s="72" t="s">
        <v>49</v>
      </c>
      <c r="C95" s="75">
        <v>1</v>
      </c>
      <c r="D95" s="72">
        <v>2</v>
      </c>
      <c r="E95" s="75">
        <v>600</v>
      </c>
      <c r="F95" s="75">
        <v>1800</v>
      </c>
      <c r="G95" s="75">
        <v>1500</v>
      </c>
      <c r="H95" s="72">
        <v>256</v>
      </c>
      <c r="I95" s="72">
        <f t="shared" si="208"/>
        <v>56</v>
      </c>
      <c r="J95" s="72">
        <v>56</v>
      </c>
      <c r="K95" s="72">
        <v>16</v>
      </c>
      <c r="L95" s="106" t="s">
        <v>30</v>
      </c>
      <c r="M95" s="72">
        <v>112</v>
      </c>
      <c r="N95" s="106" t="s">
        <v>30</v>
      </c>
      <c r="O95" s="72" t="s">
        <v>21</v>
      </c>
      <c r="P95" s="77">
        <f t="shared" si="135"/>
        <v>245.29898356812984</v>
      </c>
      <c r="Q95" s="78">
        <f t="shared" si="200"/>
        <v>4475.6121432250875</v>
      </c>
      <c r="R95" s="78">
        <f t="shared" si="191"/>
        <v>4037.873270211216</v>
      </c>
      <c r="S95" s="79">
        <v>512</v>
      </c>
      <c r="T95" s="90">
        <v>31</v>
      </c>
      <c r="U95" s="90">
        <v>105</v>
      </c>
      <c r="V95" s="72" t="s">
        <v>37</v>
      </c>
      <c r="W95" s="72" t="s">
        <v>42</v>
      </c>
      <c r="X95" s="14" t="s">
        <v>41</v>
      </c>
      <c r="Y95" s="72" t="s">
        <v>23</v>
      </c>
      <c r="Z95" s="95">
        <v>9</v>
      </c>
      <c r="AA95" s="124" t="s">
        <v>559</v>
      </c>
      <c r="AB95" s="72">
        <v>10</v>
      </c>
      <c r="AC95" s="82">
        <v>3</v>
      </c>
      <c r="AD95" s="97">
        <v>296</v>
      </c>
      <c r="AE95" s="98">
        <f t="shared" si="209"/>
        <v>754</v>
      </c>
      <c r="AF95" s="85">
        <v>55</v>
      </c>
      <c r="AG95" s="72"/>
      <c r="AH95" s="73"/>
      <c r="AI95" s="73">
        <f t="shared" si="136"/>
        <v>33.6</v>
      </c>
      <c r="AJ95" s="73">
        <f t="shared" si="137"/>
        <v>33.6</v>
      </c>
      <c r="AK95" s="73">
        <f t="shared" si="138"/>
        <v>9.6</v>
      </c>
      <c r="AL95" s="73">
        <f t="shared" si="139"/>
        <v>56</v>
      </c>
      <c r="AM95" s="92">
        <f t="shared" si="189"/>
        <v>57.6</v>
      </c>
      <c r="AN95" s="92">
        <f t="shared" si="210"/>
        <v>1</v>
      </c>
      <c r="AO95" s="73">
        <v>2</v>
      </c>
      <c r="AP95" s="73">
        <v>1</v>
      </c>
      <c r="AQ95" s="73">
        <v>1</v>
      </c>
      <c r="AR95" s="87">
        <v>5</v>
      </c>
      <c r="AS95" s="87">
        <v>5</v>
      </c>
      <c r="AT95" s="73">
        <v>1</v>
      </c>
      <c r="AU95" s="73">
        <v>1.3</v>
      </c>
      <c r="AV95" s="73">
        <v>1</v>
      </c>
      <c r="AW95" s="73">
        <f t="shared" si="141"/>
        <v>33.599999999999994</v>
      </c>
      <c r="AX95" s="73">
        <f t="shared" si="142"/>
        <v>23.717647058823527</v>
      </c>
      <c r="AY95" s="73">
        <f t="shared" si="143"/>
        <v>45.64528301886792</v>
      </c>
      <c r="AZ95" s="73">
        <f t="shared" si="144"/>
        <v>51.71152416356877</v>
      </c>
      <c r="BA95" s="73"/>
      <c r="BB95" s="73">
        <v>0.02</v>
      </c>
      <c r="BC95" s="73">
        <f t="shared" si="146"/>
        <v>50.67729368029739</v>
      </c>
      <c r="BD95" s="73">
        <v>4.840412061378459</v>
      </c>
      <c r="BE95" s="87">
        <v>5.7504095289176105</v>
      </c>
      <c r="BF95" s="73"/>
      <c r="BG95" s="73"/>
      <c r="BH95" s="92">
        <v>548</v>
      </c>
      <c r="BI95" s="92">
        <f t="shared" si="147"/>
        <v>192</v>
      </c>
      <c r="BJ95" s="92">
        <f t="shared" si="148"/>
        <v>4.666666666666667</v>
      </c>
      <c r="BK95" s="87">
        <f t="shared" si="149"/>
        <v>28.8</v>
      </c>
      <c r="BL95" s="87">
        <v>8</v>
      </c>
      <c r="BM95" s="87">
        <v>6</v>
      </c>
      <c r="BN95" s="87">
        <v>1</v>
      </c>
      <c r="BO95" s="93">
        <f t="shared" si="150"/>
        <v>14.683175528040787</v>
      </c>
      <c r="BP95" s="92">
        <f t="shared" si="151"/>
        <v>3458.7501480001633</v>
      </c>
      <c r="BQ95" s="73"/>
      <c r="BR95" s="92">
        <v>375</v>
      </c>
      <c r="BS95" s="92">
        <f t="shared" si="152"/>
        <v>192</v>
      </c>
      <c r="BT95" s="92">
        <f t="shared" si="153"/>
        <v>4.666666666666667</v>
      </c>
      <c r="BU95" s="92">
        <f t="shared" si="154"/>
        <v>28.8</v>
      </c>
      <c r="BV95" s="92">
        <v>8</v>
      </c>
      <c r="BW95" s="92">
        <v>6</v>
      </c>
      <c r="BX95" s="92">
        <v>1</v>
      </c>
      <c r="BY95" s="93">
        <f t="shared" si="155"/>
        <v>14.683175528040787</v>
      </c>
      <c r="BZ95" s="73">
        <f t="shared" si="156"/>
        <v>4145.241033221273</v>
      </c>
      <c r="CA95" s="73"/>
      <c r="CB95" s="92">
        <v>783</v>
      </c>
      <c r="CC95" s="92">
        <f t="shared" si="157"/>
        <v>192</v>
      </c>
      <c r="CD95" s="92">
        <f t="shared" si="158"/>
        <v>4.666666666666667</v>
      </c>
      <c r="CE95" s="92">
        <f t="shared" si="159"/>
        <v>28.8</v>
      </c>
      <c r="CF95" s="92">
        <v>8</v>
      </c>
      <c r="CG95" s="92">
        <v>6</v>
      </c>
      <c r="CH95" s="92">
        <v>4</v>
      </c>
      <c r="CI95" s="93">
        <f t="shared" si="160"/>
        <v>13.640054127198919</v>
      </c>
      <c r="CJ95" s="73">
        <f t="shared" si="161"/>
        <v>4663.136765738763</v>
      </c>
      <c r="CK95" s="73"/>
      <c r="CL95" s="92">
        <v>353</v>
      </c>
      <c r="CM95" s="92">
        <f t="shared" si="162"/>
        <v>192</v>
      </c>
      <c r="CN95" s="92">
        <f t="shared" si="163"/>
        <v>4.666666666666667</v>
      </c>
      <c r="CO95" s="92">
        <f t="shared" si="164"/>
        <v>28.8</v>
      </c>
      <c r="CP95" s="92">
        <v>8</v>
      </c>
      <c r="CQ95" s="92">
        <v>6</v>
      </c>
      <c r="CR95" s="92">
        <v>1</v>
      </c>
      <c r="CS95" s="93">
        <f t="shared" si="165"/>
        <v>14.683175528040787</v>
      </c>
      <c r="CT95" s="73">
        <f t="shared" si="202"/>
        <v>4944.339176806051</v>
      </c>
      <c r="CU95" s="73"/>
      <c r="CV95" s="92">
        <v>472</v>
      </c>
      <c r="CW95" s="92">
        <f t="shared" si="167"/>
        <v>192</v>
      </c>
      <c r="CX95" s="92">
        <f t="shared" si="168"/>
        <v>4.666666666666667</v>
      </c>
      <c r="CY95" s="92">
        <f t="shared" si="192"/>
        <v>28.8</v>
      </c>
      <c r="CZ95" s="92">
        <v>8</v>
      </c>
      <c r="DA95" s="92">
        <v>6</v>
      </c>
      <c r="DB95" s="92">
        <v>1</v>
      </c>
      <c r="DC95" s="93">
        <f t="shared" si="169"/>
        <v>14.683175528040787</v>
      </c>
      <c r="DD95" s="73">
        <f t="shared" si="203"/>
        <v>4249.029126687582</v>
      </c>
      <c r="DE95" s="73"/>
      <c r="DF95" s="73">
        <v>1888</v>
      </c>
      <c r="DG95" s="73">
        <f t="shared" si="171"/>
        <v>192</v>
      </c>
      <c r="DH95" s="73">
        <f t="shared" si="172"/>
        <v>4.666666666666667</v>
      </c>
      <c r="DI95" s="73">
        <f t="shared" si="173"/>
        <v>28.8</v>
      </c>
      <c r="DJ95" s="92">
        <v>8</v>
      </c>
      <c r="DK95" s="92">
        <v>6</v>
      </c>
      <c r="DL95" s="92">
        <v>1</v>
      </c>
      <c r="DM95" s="93">
        <f t="shared" si="174"/>
        <v>14.683175528040787</v>
      </c>
      <c r="DN95" s="73">
        <f t="shared" si="204"/>
        <v>4311.51484913887</v>
      </c>
      <c r="DO95" s="73"/>
      <c r="DP95" s="92">
        <v>445</v>
      </c>
      <c r="DQ95" s="73">
        <f t="shared" si="176"/>
        <v>192</v>
      </c>
      <c r="DR95" s="92">
        <f t="shared" si="177"/>
        <v>18.75</v>
      </c>
      <c r="DS95" s="73">
        <f t="shared" si="178"/>
        <v>28.8</v>
      </c>
      <c r="DT95" s="92">
        <v>8</v>
      </c>
      <c r="DU95" s="92">
        <v>6</v>
      </c>
      <c r="DV95" s="92">
        <v>1</v>
      </c>
      <c r="DW95" s="93">
        <f t="shared" si="179"/>
        <v>50.45550105115627</v>
      </c>
      <c r="DX95" s="92">
        <f t="shared" si="180"/>
        <v>6636.6413184958565</v>
      </c>
      <c r="DY95" s="73"/>
      <c r="DZ95" s="73">
        <v>587</v>
      </c>
      <c r="EA95" s="92">
        <f t="shared" si="181"/>
        <v>192</v>
      </c>
      <c r="EB95" s="92">
        <f t="shared" si="182"/>
        <v>4.666666666666667</v>
      </c>
      <c r="EC95" s="92">
        <f t="shared" si="183"/>
        <v>28.8</v>
      </c>
      <c r="ED95" s="92">
        <v>8</v>
      </c>
      <c r="EE95" s="92">
        <v>6</v>
      </c>
      <c r="EF95" s="92">
        <v>1</v>
      </c>
      <c r="EG95" s="93">
        <f t="shared" si="184"/>
        <v>14.683175528040787</v>
      </c>
      <c r="EH95" s="92">
        <f t="shared" si="185"/>
        <v>4702.394073770265</v>
      </c>
      <c r="EI95" s="73"/>
      <c r="EJ95" s="92">
        <v>450</v>
      </c>
      <c r="EK95" s="73">
        <f t="shared" si="193"/>
        <v>8</v>
      </c>
      <c r="EL95" s="73">
        <f t="shared" si="194"/>
        <v>4.666666666666667</v>
      </c>
      <c r="EM95" s="73">
        <f t="shared" si="195"/>
        <v>11.52</v>
      </c>
      <c r="EN95" s="92">
        <v>8</v>
      </c>
      <c r="EO95" s="92">
        <v>6</v>
      </c>
      <c r="EP95" s="92">
        <v>1</v>
      </c>
      <c r="EQ95" s="93">
        <f t="shared" si="186"/>
        <v>8.429855739075895</v>
      </c>
      <c r="ER95" s="73">
        <f aca="true" t="shared" si="211" ref="ER95:ER120">POWER(EQ95,1.05)*450</f>
        <v>4220.108952322035</v>
      </c>
      <c r="ES95" s="73"/>
      <c r="ET95" s="142">
        <v>0</v>
      </c>
      <c r="EU95" s="142">
        <v>0</v>
      </c>
      <c r="EV95" s="142">
        <v>6</v>
      </c>
      <c r="EW95" s="142">
        <v>39.8</v>
      </c>
      <c r="EX95" s="142">
        <v>0</v>
      </c>
      <c r="EY95" s="142">
        <v>0</v>
      </c>
      <c r="EZ95" s="142">
        <v>0</v>
      </c>
      <c r="FA95" s="142">
        <v>4.8</v>
      </c>
      <c r="FB95" s="142">
        <v>49.4</v>
      </c>
      <c r="FC95" s="92">
        <f t="shared" si="188"/>
        <v>4475.6121432250875</v>
      </c>
      <c r="FE95" s="142">
        <v>611</v>
      </c>
      <c r="FF95" s="167">
        <f t="shared" si="196"/>
        <v>192</v>
      </c>
      <c r="FG95" s="167">
        <f t="shared" si="197"/>
        <v>4.666666666666667</v>
      </c>
      <c r="FH95" s="167">
        <f t="shared" si="199"/>
        <v>28.8</v>
      </c>
      <c r="FI95" s="167">
        <v>8</v>
      </c>
      <c r="FJ95" s="167">
        <v>6</v>
      </c>
      <c r="FK95" s="142">
        <v>1</v>
      </c>
      <c r="FL95" s="142">
        <f t="shared" si="198"/>
        <v>14.683175528040787</v>
      </c>
      <c r="FM95" s="142">
        <f t="shared" si="207"/>
        <v>4037.873270211216</v>
      </c>
    </row>
    <row r="96" spans="1:169" s="17" customFormat="1" ht="17.25">
      <c r="A96" s="105">
        <v>89</v>
      </c>
      <c r="B96" s="72" t="s">
        <v>103</v>
      </c>
      <c r="C96" s="75">
        <v>1</v>
      </c>
      <c r="D96" s="72">
        <v>2</v>
      </c>
      <c r="E96" s="75">
        <v>600</v>
      </c>
      <c r="F96" s="75">
        <v>1800</v>
      </c>
      <c r="G96" s="75">
        <v>1500</v>
      </c>
      <c r="H96" s="72">
        <v>256</v>
      </c>
      <c r="I96" s="72">
        <f t="shared" si="208"/>
        <v>56</v>
      </c>
      <c r="J96" s="72">
        <v>56</v>
      </c>
      <c r="K96" s="72">
        <v>16</v>
      </c>
      <c r="L96" s="106" t="s">
        <v>30</v>
      </c>
      <c r="M96" s="72">
        <v>112</v>
      </c>
      <c r="N96" s="106" t="s">
        <v>30</v>
      </c>
      <c r="O96" s="72" t="s">
        <v>21</v>
      </c>
      <c r="P96" s="77">
        <f t="shared" si="135"/>
        <v>245.29898356812984</v>
      </c>
      <c r="Q96" s="78">
        <f t="shared" si="200"/>
        <v>4475.6121432250875</v>
      </c>
      <c r="R96" s="78">
        <f t="shared" si="191"/>
        <v>4037.873270211216</v>
      </c>
      <c r="S96" s="79">
        <v>512</v>
      </c>
      <c r="T96" s="102">
        <v>35</v>
      </c>
      <c r="U96" s="102">
        <v>115</v>
      </c>
      <c r="V96" s="72" t="s">
        <v>37</v>
      </c>
      <c r="W96" s="72" t="s">
        <v>42</v>
      </c>
      <c r="X96" s="14" t="s">
        <v>41</v>
      </c>
      <c r="Y96" s="72" t="s">
        <v>23</v>
      </c>
      <c r="Z96" s="95">
        <v>9</v>
      </c>
      <c r="AA96" s="124" t="s">
        <v>559</v>
      </c>
      <c r="AB96" s="72">
        <v>10</v>
      </c>
      <c r="AC96" s="82">
        <v>3</v>
      </c>
      <c r="AD96" s="97" t="s">
        <v>47</v>
      </c>
      <c r="AE96" s="98">
        <f t="shared" si="209"/>
        <v>754</v>
      </c>
      <c r="AF96" s="85" t="s">
        <v>47</v>
      </c>
      <c r="AG96" s="72"/>
      <c r="AH96" s="73"/>
      <c r="AI96" s="73">
        <f t="shared" si="136"/>
        <v>33.6</v>
      </c>
      <c r="AJ96" s="73">
        <f t="shared" si="137"/>
        <v>33.6</v>
      </c>
      <c r="AK96" s="73">
        <f t="shared" si="138"/>
        <v>9.6</v>
      </c>
      <c r="AL96" s="73">
        <f t="shared" si="139"/>
        <v>56</v>
      </c>
      <c r="AM96" s="92">
        <f t="shared" si="189"/>
        <v>57.6</v>
      </c>
      <c r="AN96" s="92">
        <f t="shared" si="210"/>
        <v>1</v>
      </c>
      <c r="AO96" s="73">
        <v>2</v>
      </c>
      <c r="AP96" s="73">
        <v>1</v>
      </c>
      <c r="AQ96" s="73">
        <v>1</v>
      </c>
      <c r="AR96" s="87">
        <v>5</v>
      </c>
      <c r="AS96" s="87">
        <v>5</v>
      </c>
      <c r="AT96" s="73">
        <v>1</v>
      </c>
      <c r="AU96" s="73">
        <v>1.3</v>
      </c>
      <c r="AV96" s="73">
        <v>1</v>
      </c>
      <c r="AW96" s="73">
        <f t="shared" si="141"/>
        <v>33.599999999999994</v>
      </c>
      <c r="AX96" s="73">
        <f t="shared" si="142"/>
        <v>23.717647058823527</v>
      </c>
      <c r="AY96" s="73">
        <f t="shared" si="143"/>
        <v>45.64528301886792</v>
      </c>
      <c r="AZ96" s="73">
        <f t="shared" si="144"/>
        <v>51.71152416356877</v>
      </c>
      <c r="BA96" s="73"/>
      <c r="BB96" s="73">
        <v>0.02</v>
      </c>
      <c r="BC96" s="73">
        <f t="shared" si="146"/>
        <v>50.67729368029739</v>
      </c>
      <c r="BD96" s="73">
        <v>4.840412061378459</v>
      </c>
      <c r="BE96" s="87">
        <v>5.7504095289176105</v>
      </c>
      <c r="BF96" s="73"/>
      <c r="BG96" s="73"/>
      <c r="BH96" s="92">
        <v>548</v>
      </c>
      <c r="BI96" s="92">
        <f t="shared" si="147"/>
        <v>192</v>
      </c>
      <c r="BJ96" s="92">
        <f t="shared" si="148"/>
        <v>4.666666666666667</v>
      </c>
      <c r="BK96" s="87">
        <f t="shared" si="149"/>
        <v>28.8</v>
      </c>
      <c r="BL96" s="87">
        <v>8</v>
      </c>
      <c r="BM96" s="87">
        <v>6</v>
      </c>
      <c r="BN96" s="87">
        <v>1</v>
      </c>
      <c r="BO96" s="93">
        <f t="shared" si="150"/>
        <v>14.683175528040787</v>
      </c>
      <c r="BP96" s="92">
        <f t="shared" si="151"/>
        <v>3458.7501480001633</v>
      </c>
      <c r="BQ96" s="73"/>
      <c r="BR96" s="92">
        <v>375</v>
      </c>
      <c r="BS96" s="92">
        <f t="shared" si="152"/>
        <v>192</v>
      </c>
      <c r="BT96" s="92">
        <f t="shared" si="153"/>
        <v>4.666666666666667</v>
      </c>
      <c r="BU96" s="92">
        <f t="shared" si="154"/>
        <v>28.8</v>
      </c>
      <c r="BV96" s="92">
        <v>8</v>
      </c>
      <c r="BW96" s="92">
        <v>6</v>
      </c>
      <c r="BX96" s="92">
        <v>1</v>
      </c>
      <c r="BY96" s="93">
        <f t="shared" si="155"/>
        <v>14.683175528040787</v>
      </c>
      <c r="BZ96" s="73">
        <f t="shared" si="156"/>
        <v>4145.241033221273</v>
      </c>
      <c r="CA96" s="73"/>
      <c r="CB96" s="92">
        <v>783</v>
      </c>
      <c r="CC96" s="92">
        <f t="shared" si="157"/>
        <v>192</v>
      </c>
      <c r="CD96" s="92">
        <f t="shared" si="158"/>
        <v>4.666666666666667</v>
      </c>
      <c r="CE96" s="92">
        <f t="shared" si="159"/>
        <v>28.8</v>
      </c>
      <c r="CF96" s="92">
        <v>8</v>
      </c>
      <c r="CG96" s="92">
        <v>6</v>
      </c>
      <c r="CH96" s="92">
        <v>4</v>
      </c>
      <c r="CI96" s="93">
        <f t="shared" si="160"/>
        <v>13.640054127198919</v>
      </c>
      <c r="CJ96" s="73">
        <f t="shared" si="161"/>
        <v>4663.136765738763</v>
      </c>
      <c r="CK96" s="73"/>
      <c r="CL96" s="92">
        <v>353</v>
      </c>
      <c r="CM96" s="92">
        <f t="shared" si="162"/>
        <v>192</v>
      </c>
      <c r="CN96" s="92">
        <f t="shared" si="163"/>
        <v>4.666666666666667</v>
      </c>
      <c r="CO96" s="92">
        <f t="shared" si="164"/>
        <v>28.8</v>
      </c>
      <c r="CP96" s="92">
        <v>8</v>
      </c>
      <c r="CQ96" s="92">
        <v>6</v>
      </c>
      <c r="CR96" s="92">
        <v>1</v>
      </c>
      <c r="CS96" s="93">
        <f t="shared" si="165"/>
        <v>14.683175528040787</v>
      </c>
      <c r="CT96" s="73">
        <f t="shared" si="202"/>
        <v>4944.339176806051</v>
      </c>
      <c r="CU96" s="73"/>
      <c r="CV96" s="92">
        <v>472</v>
      </c>
      <c r="CW96" s="92">
        <f t="shared" si="167"/>
        <v>192</v>
      </c>
      <c r="CX96" s="92">
        <f t="shared" si="168"/>
        <v>4.666666666666667</v>
      </c>
      <c r="CY96" s="92">
        <f t="shared" si="192"/>
        <v>28.8</v>
      </c>
      <c r="CZ96" s="92">
        <v>8</v>
      </c>
      <c r="DA96" s="92">
        <v>6</v>
      </c>
      <c r="DB96" s="92">
        <v>1</v>
      </c>
      <c r="DC96" s="93">
        <f t="shared" si="169"/>
        <v>14.683175528040787</v>
      </c>
      <c r="DD96" s="73">
        <f t="shared" si="203"/>
        <v>4249.029126687582</v>
      </c>
      <c r="DE96" s="73"/>
      <c r="DF96" s="73">
        <v>1888</v>
      </c>
      <c r="DG96" s="73">
        <f t="shared" si="171"/>
        <v>192</v>
      </c>
      <c r="DH96" s="73">
        <f t="shared" si="172"/>
        <v>4.666666666666667</v>
      </c>
      <c r="DI96" s="73">
        <f t="shared" si="173"/>
        <v>28.8</v>
      </c>
      <c r="DJ96" s="92">
        <v>8</v>
      </c>
      <c r="DK96" s="92">
        <v>6</v>
      </c>
      <c r="DL96" s="92">
        <v>1</v>
      </c>
      <c r="DM96" s="93">
        <f t="shared" si="174"/>
        <v>14.683175528040787</v>
      </c>
      <c r="DN96" s="73">
        <f t="shared" si="204"/>
        <v>4311.51484913887</v>
      </c>
      <c r="DO96" s="73"/>
      <c r="DP96" s="92">
        <v>445</v>
      </c>
      <c r="DQ96" s="73">
        <f t="shared" si="176"/>
        <v>192</v>
      </c>
      <c r="DR96" s="92">
        <f t="shared" si="177"/>
        <v>18.75</v>
      </c>
      <c r="DS96" s="73">
        <f t="shared" si="178"/>
        <v>28.8</v>
      </c>
      <c r="DT96" s="92">
        <v>8</v>
      </c>
      <c r="DU96" s="92">
        <v>6</v>
      </c>
      <c r="DV96" s="92">
        <v>1</v>
      </c>
      <c r="DW96" s="93">
        <f t="shared" si="179"/>
        <v>50.45550105115627</v>
      </c>
      <c r="DX96" s="92">
        <f t="shared" si="180"/>
        <v>6636.6413184958565</v>
      </c>
      <c r="DY96" s="73"/>
      <c r="DZ96" s="73">
        <v>587</v>
      </c>
      <c r="EA96" s="92">
        <f t="shared" si="181"/>
        <v>192</v>
      </c>
      <c r="EB96" s="92">
        <f t="shared" si="182"/>
        <v>4.666666666666667</v>
      </c>
      <c r="EC96" s="92">
        <f t="shared" si="183"/>
        <v>28.8</v>
      </c>
      <c r="ED96" s="92">
        <v>8</v>
      </c>
      <c r="EE96" s="92">
        <v>6</v>
      </c>
      <c r="EF96" s="92">
        <v>1</v>
      </c>
      <c r="EG96" s="93">
        <f t="shared" si="184"/>
        <v>14.683175528040787</v>
      </c>
      <c r="EH96" s="92">
        <f t="shared" si="185"/>
        <v>4702.394073770265</v>
      </c>
      <c r="EI96" s="73"/>
      <c r="EJ96" s="92">
        <v>450</v>
      </c>
      <c r="EK96" s="73">
        <f t="shared" si="193"/>
        <v>8</v>
      </c>
      <c r="EL96" s="73">
        <f t="shared" si="194"/>
        <v>4.666666666666667</v>
      </c>
      <c r="EM96" s="73">
        <f t="shared" si="195"/>
        <v>11.52</v>
      </c>
      <c r="EN96" s="92">
        <v>8</v>
      </c>
      <c r="EO96" s="92">
        <v>6</v>
      </c>
      <c r="EP96" s="92">
        <v>1</v>
      </c>
      <c r="EQ96" s="93">
        <f t="shared" si="186"/>
        <v>8.429855739075895</v>
      </c>
      <c r="ER96" s="73">
        <f t="shared" si="211"/>
        <v>4220.108952322035</v>
      </c>
      <c r="ES96" s="73"/>
      <c r="ET96" s="142">
        <v>0</v>
      </c>
      <c r="EU96" s="142">
        <v>0</v>
      </c>
      <c r="EV96" s="142">
        <v>6</v>
      </c>
      <c r="EW96" s="142">
        <v>39.8</v>
      </c>
      <c r="EX96" s="142">
        <v>0</v>
      </c>
      <c r="EY96" s="142">
        <v>0</v>
      </c>
      <c r="EZ96" s="142">
        <v>0</v>
      </c>
      <c r="FA96" s="142">
        <v>4.8</v>
      </c>
      <c r="FB96" s="142">
        <v>49.4</v>
      </c>
      <c r="FC96" s="92">
        <f t="shared" si="188"/>
        <v>4475.6121432250875</v>
      </c>
      <c r="FE96" s="142">
        <v>611</v>
      </c>
      <c r="FF96" s="167">
        <f t="shared" si="196"/>
        <v>192</v>
      </c>
      <c r="FG96" s="167">
        <f t="shared" si="197"/>
        <v>4.666666666666667</v>
      </c>
      <c r="FH96" s="167">
        <f t="shared" si="199"/>
        <v>28.8</v>
      </c>
      <c r="FI96" s="167">
        <v>8</v>
      </c>
      <c r="FJ96" s="167">
        <v>6</v>
      </c>
      <c r="FK96" s="142">
        <v>1</v>
      </c>
      <c r="FL96" s="142">
        <f t="shared" si="198"/>
        <v>14.683175528040787</v>
      </c>
      <c r="FM96" s="142">
        <f t="shared" si="207"/>
        <v>4037.873270211216</v>
      </c>
    </row>
    <row r="97" spans="1:169" s="17" customFormat="1" ht="17.25">
      <c r="A97" s="105">
        <v>90</v>
      </c>
      <c r="B97" s="94" t="s">
        <v>308</v>
      </c>
      <c r="C97" s="75">
        <v>1</v>
      </c>
      <c r="D97" s="72">
        <v>2</v>
      </c>
      <c r="E97" s="75">
        <v>550</v>
      </c>
      <c r="F97" s="75">
        <v>1800</v>
      </c>
      <c r="G97" s="75">
        <v>1375</v>
      </c>
      <c r="H97" s="72">
        <v>256</v>
      </c>
      <c r="I97" s="72">
        <f t="shared" si="208"/>
        <v>56</v>
      </c>
      <c r="J97" s="72">
        <v>56</v>
      </c>
      <c r="K97" s="72">
        <v>16</v>
      </c>
      <c r="L97" s="106" t="s">
        <v>30</v>
      </c>
      <c r="M97" s="72">
        <v>112</v>
      </c>
      <c r="N97" s="106" t="s">
        <v>30</v>
      </c>
      <c r="O97" s="72" t="s">
        <v>21</v>
      </c>
      <c r="P97" s="77">
        <f t="shared" si="135"/>
        <v>234.78560322759057</v>
      </c>
      <c r="Q97" s="78">
        <f t="shared" si="200"/>
        <v>4109.248467735606</v>
      </c>
      <c r="R97" s="78">
        <f t="shared" si="191"/>
        <v>3709.2634267988565</v>
      </c>
      <c r="S97" s="79">
        <v>512</v>
      </c>
      <c r="T97" s="90">
        <v>30</v>
      </c>
      <c r="U97" s="90">
        <v>85</v>
      </c>
      <c r="V97" s="72" t="s">
        <v>37</v>
      </c>
      <c r="W97" s="94" t="s">
        <v>27</v>
      </c>
      <c r="X97" s="94" t="s">
        <v>28</v>
      </c>
      <c r="Y97" s="94" t="s">
        <v>40</v>
      </c>
      <c r="Z97" s="95">
        <v>7.75</v>
      </c>
      <c r="AA97" s="124" t="s">
        <v>559</v>
      </c>
      <c r="AB97" s="72">
        <v>10</v>
      </c>
      <c r="AC97" s="82">
        <v>3</v>
      </c>
      <c r="AD97" s="97">
        <v>296</v>
      </c>
      <c r="AE97" s="98">
        <f t="shared" si="209"/>
        <v>754</v>
      </c>
      <c r="AF97" s="85">
        <v>55</v>
      </c>
      <c r="AG97" s="16" t="s">
        <v>477</v>
      </c>
      <c r="AH97" s="73"/>
      <c r="AI97" s="73">
        <f t="shared" si="136"/>
        <v>30.8</v>
      </c>
      <c r="AJ97" s="73">
        <f t="shared" si="137"/>
        <v>30.8</v>
      </c>
      <c r="AK97" s="73">
        <f t="shared" si="138"/>
        <v>8.8</v>
      </c>
      <c r="AL97" s="73">
        <f t="shared" si="139"/>
        <v>51.333333333333336</v>
      </c>
      <c r="AM97" s="92">
        <f t="shared" si="189"/>
        <v>57.6</v>
      </c>
      <c r="AN97" s="92">
        <f t="shared" si="210"/>
        <v>1</v>
      </c>
      <c r="AO97" s="73">
        <v>2</v>
      </c>
      <c r="AP97" s="73">
        <v>1</v>
      </c>
      <c r="AQ97" s="73">
        <v>1</v>
      </c>
      <c r="AR97" s="87">
        <v>5</v>
      </c>
      <c r="AS97" s="87">
        <v>5</v>
      </c>
      <c r="AT97" s="73">
        <v>1</v>
      </c>
      <c r="AU97" s="73">
        <v>1.3</v>
      </c>
      <c r="AV97" s="73">
        <v>1</v>
      </c>
      <c r="AW97" s="73">
        <f t="shared" si="141"/>
        <v>30.799999999999997</v>
      </c>
      <c r="AX97" s="73">
        <f t="shared" si="142"/>
        <v>21.741176470588236</v>
      </c>
      <c r="AY97" s="73">
        <f t="shared" si="143"/>
        <v>41.841509433962266</v>
      </c>
      <c r="AZ97" s="73">
        <f t="shared" si="144"/>
        <v>49.495196506550215</v>
      </c>
      <c r="BA97" s="73"/>
      <c r="BB97" s="73">
        <v>0.02</v>
      </c>
      <c r="BC97" s="73">
        <f t="shared" si="146"/>
        <v>48.50529257641921</v>
      </c>
      <c r="BD97" s="73">
        <v>4.840412061378459</v>
      </c>
      <c r="BE97" s="87">
        <v>5.7504095289176105</v>
      </c>
      <c r="BF97" s="73"/>
      <c r="BG97" s="73"/>
      <c r="BH97" s="92">
        <v>548</v>
      </c>
      <c r="BI97" s="92">
        <f t="shared" si="147"/>
        <v>176</v>
      </c>
      <c r="BJ97" s="92">
        <f t="shared" si="148"/>
        <v>4.277777777777778</v>
      </c>
      <c r="BK97" s="87">
        <f t="shared" si="149"/>
        <v>28.8</v>
      </c>
      <c r="BL97" s="87">
        <v>8</v>
      </c>
      <c r="BM97" s="87">
        <v>6</v>
      </c>
      <c r="BN97" s="87">
        <v>1</v>
      </c>
      <c r="BO97" s="93">
        <f t="shared" si="150"/>
        <v>13.488230642904933</v>
      </c>
      <c r="BP97" s="92">
        <f t="shared" si="151"/>
        <v>3155.767383743338</v>
      </c>
      <c r="BQ97" s="73"/>
      <c r="BR97" s="92">
        <v>375</v>
      </c>
      <c r="BS97" s="92">
        <f t="shared" si="152"/>
        <v>176</v>
      </c>
      <c r="BT97" s="92">
        <f t="shared" si="153"/>
        <v>4.277777777777778</v>
      </c>
      <c r="BU97" s="92">
        <f t="shared" si="154"/>
        <v>28.8</v>
      </c>
      <c r="BV97" s="92">
        <v>8</v>
      </c>
      <c r="BW97" s="92">
        <v>6</v>
      </c>
      <c r="BX97" s="92">
        <v>1</v>
      </c>
      <c r="BY97" s="93">
        <f t="shared" si="155"/>
        <v>13.488230642904933</v>
      </c>
      <c r="BZ97" s="73">
        <f t="shared" si="156"/>
        <v>3811.1270916128583</v>
      </c>
      <c r="CA97" s="73"/>
      <c r="CB97" s="92">
        <v>783</v>
      </c>
      <c r="CC97" s="92">
        <f t="shared" si="157"/>
        <v>176</v>
      </c>
      <c r="CD97" s="92">
        <f t="shared" si="158"/>
        <v>4.277777777777778</v>
      </c>
      <c r="CE97" s="92">
        <f t="shared" si="159"/>
        <v>28.8</v>
      </c>
      <c r="CF97" s="92">
        <v>8</v>
      </c>
      <c r="CG97" s="92">
        <v>6</v>
      </c>
      <c r="CH97" s="92">
        <v>4</v>
      </c>
      <c r="CI97" s="93">
        <f t="shared" si="160"/>
        <v>12.602864287338033</v>
      </c>
      <c r="CJ97" s="73">
        <f t="shared" si="161"/>
        <v>4291.548029186435</v>
      </c>
      <c r="CK97" s="73"/>
      <c r="CL97" s="92">
        <v>353</v>
      </c>
      <c r="CM97" s="92">
        <f t="shared" si="162"/>
        <v>176</v>
      </c>
      <c r="CN97" s="92">
        <f t="shared" si="163"/>
        <v>4.277777777777778</v>
      </c>
      <c r="CO97" s="92">
        <f t="shared" si="164"/>
        <v>28.8</v>
      </c>
      <c r="CP97" s="92">
        <v>8</v>
      </c>
      <c r="CQ97" s="92">
        <v>6</v>
      </c>
      <c r="CR97" s="92">
        <v>1</v>
      </c>
      <c r="CS97" s="93">
        <f t="shared" si="165"/>
        <v>13.488230642904933</v>
      </c>
      <c r="CT97" s="73">
        <f t="shared" si="202"/>
        <v>4553.540446726406</v>
      </c>
      <c r="CU97" s="73"/>
      <c r="CV97" s="92">
        <v>472</v>
      </c>
      <c r="CW97" s="92">
        <f t="shared" si="167"/>
        <v>176</v>
      </c>
      <c r="CX97" s="92">
        <f t="shared" si="168"/>
        <v>4.277777777777778</v>
      </c>
      <c r="CY97" s="92">
        <f t="shared" si="192"/>
        <v>28.8</v>
      </c>
      <c r="CZ97" s="92">
        <v>8</v>
      </c>
      <c r="DA97" s="92">
        <v>6</v>
      </c>
      <c r="DB97" s="92">
        <v>1</v>
      </c>
      <c r="DC97" s="93">
        <f t="shared" si="169"/>
        <v>13.488230642904933</v>
      </c>
      <c r="DD97" s="73">
        <f t="shared" si="203"/>
        <v>3923.165249322396</v>
      </c>
      <c r="DE97" s="73"/>
      <c r="DF97" s="73">
        <v>1888</v>
      </c>
      <c r="DG97" s="73">
        <f t="shared" si="171"/>
        <v>176</v>
      </c>
      <c r="DH97" s="73">
        <f t="shared" si="172"/>
        <v>4.277777777777778</v>
      </c>
      <c r="DI97" s="73">
        <f t="shared" si="173"/>
        <v>28.8</v>
      </c>
      <c r="DJ97" s="92">
        <v>8</v>
      </c>
      <c r="DK97" s="92">
        <v>6</v>
      </c>
      <c r="DL97" s="92">
        <v>1</v>
      </c>
      <c r="DM97" s="93">
        <f t="shared" si="174"/>
        <v>13.488230642904933</v>
      </c>
      <c r="DN97" s="73">
        <f t="shared" si="204"/>
        <v>3980.8588559300783</v>
      </c>
      <c r="DO97" s="73"/>
      <c r="DP97" s="92">
        <v>445</v>
      </c>
      <c r="DQ97" s="73">
        <f t="shared" si="176"/>
        <v>176</v>
      </c>
      <c r="DR97" s="92">
        <f t="shared" si="177"/>
        <v>15.755208333333334</v>
      </c>
      <c r="DS97" s="73">
        <f t="shared" si="178"/>
        <v>28.8</v>
      </c>
      <c r="DT97" s="92">
        <v>8</v>
      </c>
      <c r="DU97" s="92">
        <v>6</v>
      </c>
      <c r="DV97" s="92">
        <v>1</v>
      </c>
      <c r="DW97" s="93">
        <f t="shared" si="179"/>
        <v>43.38364548111925</v>
      </c>
      <c r="DX97" s="92">
        <f t="shared" si="180"/>
        <v>5775.804226630347</v>
      </c>
      <c r="DY97" s="73"/>
      <c r="DZ97" s="73">
        <v>587</v>
      </c>
      <c r="EA97" s="92">
        <f t="shared" si="181"/>
        <v>176</v>
      </c>
      <c r="EB97" s="92">
        <f t="shared" si="182"/>
        <v>4.277777777777778</v>
      </c>
      <c r="EC97" s="92">
        <f t="shared" si="183"/>
        <v>28.8</v>
      </c>
      <c r="ED97" s="92">
        <v>8</v>
      </c>
      <c r="EE97" s="92">
        <v>6</v>
      </c>
      <c r="EF97" s="92">
        <v>1</v>
      </c>
      <c r="EG97" s="93">
        <f t="shared" si="184"/>
        <v>13.488230642904933</v>
      </c>
      <c r="EH97" s="92">
        <f t="shared" si="185"/>
        <v>4301.409244165047</v>
      </c>
      <c r="EI97" s="73"/>
      <c r="EJ97" s="92">
        <v>450</v>
      </c>
      <c r="EK97" s="73">
        <f t="shared" si="193"/>
        <v>7.333333333333333</v>
      </c>
      <c r="EL97" s="73">
        <f t="shared" si="194"/>
        <v>4.277777777777778</v>
      </c>
      <c r="EM97" s="73">
        <f t="shared" si="195"/>
        <v>11.52</v>
      </c>
      <c r="EN97" s="92">
        <v>8</v>
      </c>
      <c r="EO97" s="92">
        <v>6</v>
      </c>
      <c r="EP97" s="92">
        <v>1</v>
      </c>
      <c r="EQ97" s="93">
        <f t="shared" si="186"/>
        <v>7.7510005068069425</v>
      </c>
      <c r="ER97" s="73">
        <f t="shared" si="211"/>
        <v>3864.009338339487</v>
      </c>
      <c r="ES97" s="73"/>
      <c r="ET97" s="142">
        <v>0</v>
      </c>
      <c r="EU97" s="142">
        <v>0</v>
      </c>
      <c r="EV97" s="142">
        <v>6</v>
      </c>
      <c r="EW97" s="142">
        <v>39.8</v>
      </c>
      <c r="EX97" s="142">
        <v>0</v>
      </c>
      <c r="EY97" s="142">
        <v>0</v>
      </c>
      <c r="EZ97" s="142">
        <v>0</v>
      </c>
      <c r="FA97" s="142">
        <v>4.8</v>
      </c>
      <c r="FB97" s="142">
        <v>49.4</v>
      </c>
      <c r="FC97" s="92">
        <f t="shared" si="188"/>
        <v>4109.248467735606</v>
      </c>
      <c r="FE97" s="142">
        <v>611</v>
      </c>
      <c r="FF97" s="167">
        <f t="shared" si="196"/>
        <v>176</v>
      </c>
      <c r="FG97" s="167">
        <f t="shared" si="197"/>
        <v>4.277777777777778</v>
      </c>
      <c r="FH97" s="167">
        <f t="shared" si="199"/>
        <v>28.8</v>
      </c>
      <c r="FI97" s="167">
        <v>8</v>
      </c>
      <c r="FJ97" s="167">
        <v>6</v>
      </c>
      <c r="FK97" s="142">
        <v>1</v>
      </c>
      <c r="FL97" s="142">
        <f t="shared" si="198"/>
        <v>13.488230642904933</v>
      </c>
      <c r="FM97" s="142">
        <f t="shared" si="207"/>
        <v>3709.2634267988565</v>
      </c>
    </row>
    <row r="98" spans="1:169" s="4" customFormat="1" ht="17.25">
      <c r="A98" s="105">
        <v>91</v>
      </c>
      <c r="B98" s="94" t="s">
        <v>51</v>
      </c>
      <c r="C98" s="75">
        <v>1</v>
      </c>
      <c r="D98" s="94">
        <v>3</v>
      </c>
      <c r="E98" s="75">
        <v>612</v>
      </c>
      <c r="F98" s="75">
        <v>2160</v>
      </c>
      <c r="G98" s="75">
        <v>1500</v>
      </c>
      <c r="H98" s="94">
        <v>384</v>
      </c>
      <c r="I98" s="72">
        <v>32</v>
      </c>
      <c r="J98" s="94">
        <v>64</v>
      </c>
      <c r="K98" s="94">
        <v>24</v>
      </c>
      <c r="L98" s="100" t="s">
        <v>30</v>
      </c>
      <c r="M98" s="94">
        <v>128</v>
      </c>
      <c r="N98" s="100" t="s">
        <v>30</v>
      </c>
      <c r="O98" s="94" t="s">
        <v>21</v>
      </c>
      <c r="P98" s="77">
        <f t="shared" si="135"/>
        <v>339.05445671343847</v>
      </c>
      <c r="Q98" s="78">
        <f t="shared" si="200"/>
        <v>5560.125396450489</v>
      </c>
      <c r="R98" s="78">
        <f t="shared" si="191"/>
        <v>4694.742551625276</v>
      </c>
      <c r="S98" s="89">
        <v>768</v>
      </c>
      <c r="T98" s="102">
        <v>85</v>
      </c>
      <c r="U98" s="102">
        <v>200</v>
      </c>
      <c r="V98" s="94" t="s">
        <v>55</v>
      </c>
      <c r="W98" s="94" t="s">
        <v>38</v>
      </c>
      <c r="X98" s="14" t="s">
        <v>39</v>
      </c>
      <c r="Y98" s="94" t="s">
        <v>40</v>
      </c>
      <c r="Z98" s="81">
        <v>10.5</v>
      </c>
      <c r="AA98" s="124" t="s">
        <v>559</v>
      </c>
      <c r="AB98" s="94">
        <v>10</v>
      </c>
      <c r="AC98" s="96">
        <v>3</v>
      </c>
      <c r="AD98" s="97">
        <v>484</v>
      </c>
      <c r="AE98" s="98">
        <f>681*C98</f>
        <v>681</v>
      </c>
      <c r="AF98" s="99">
        <v>90</v>
      </c>
      <c r="AG98" s="94"/>
      <c r="AH98" s="91"/>
      <c r="AI98" s="87">
        <f t="shared" si="136"/>
        <v>19.584</v>
      </c>
      <c r="AJ98" s="91">
        <f t="shared" si="137"/>
        <v>39.168</v>
      </c>
      <c r="AK98" s="91">
        <f t="shared" si="138"/>
        <v>14.688</v>
      </c>
      <c r="AL98" s="87">
        <f t="shared" si="139"/>
        <v>64</v>
      </c>
      <c r="AM98" s="92">
        <f t="shared" si="189"/>
        <v>103.68</v>
      </c>
      <c r="AN98" s="92">
        <f t="shared" si="210"/>
        <v>1</v>
      </c>
      <c r="AO98" s="87">
        <v>2</v>
      </c>
      <c r="AP98" s="87">
        <v>1</v>
      </c>
      <c r="AQ98" s="87">
        <v>1</v>
      </c>
      <c r="AR98" s="87">
        <v>5</v>
      </c>
      <c r="AS98" s="87">
        <v>5</v>
      </c>
      <c r="AT98" s="87">
        <v>1</v>
      </c>
      <c r="AU98" s="87">
        <v>1.3</v>
      </c>
      <c r="AV98" s="87">
        <v>1</v>
      </c>
      <c r="AW98" s="87">
        <f t="shared" si="141"/>
        <v>29.376</v>
      </c>
      <c r="AX98" s="87">
        <f t="shared" si="142"/>
        <v>25.17942857142857</v>
      </c>
      <c r="AY98" s="91">
        <f t="shared" si="143"/>
        <v>50.916514203177655</v>
      </c>
      <c r="AZ98" s="91">
        <f t="shared" si="144"/>
        <v>71.47613282397884</v>
      </c>
      <c r="BA98" s="91"/>
      <c r="BB98" s="73">
        <v>0.02</v>
      </c>
      <c r="BC98" s="73">
        <f t="shared" si="146"/>
        <v>70.04661016749927</v>
      </c>
      <c r="BD98" s="73">
        <v>4.840412061378459</v>
      </c>
      <c r="BE98" s="87">
        <v>5.7504095289176105</v>
      </c>
      <c r="BF98" s="42"/>
      <c r="BG98" s="42"/>
      <c r="BH98" s="92">
        <v>548</v>
      </c>
      <c r="BI98" s="92">
        <f t="shared" si="147"/>
        <v>293.76</v>
      </c>
      <c r="BJ98" s="92">
        <f t="shared" si="148"/>
        <v>5.333333333333333</v>
      </c>
      <c r="BK98" s="87">
        <f t="shared" si="149"/>
        <v>51.84</v>
      </c>
      <c r="BL98" s="87">
        <v>8</v>
      </c>
      <c r="BM98" s="87">
        <v>6</v>
      </c>
      <c r="BN98" s="87">
        <v>1</v>
      </c>
      <c r="BO98" s="93">
        <f t="shared" si="150"/>
        <v>17.071791096819187</v>
      </c>
      <c r="BP98" s="92">
        <f t="shared" si="151"/>
        <v>4070.1931189288366</v>
      </c>
      <c r="BQ98" s="42"/>
      <c r="BR98" s="92">
        <v>375</v>
      </c>
      <c r="BS98" s="92">
        <f t="shared" si="152"/>
        <v>293.76</v>
      </c>
      <c r="BT98" s="92">
        <f t="shared" si="153"/>
        <v>5.333333333333333</v>
      </c>
      <c r="BU98" s="92">
        <f t="shared" si="154"/>
        <v>51.84</v>
      </c>
      <c r="BV98" s="92">
        <v>8</v>
      </c>
      <c r="BW98" s="92">
        <v>6</v>
      </c>
      <c r="BX98" s="92">
        <v>1</v>
      </c>
      <c r="BY98" s="93">
        <f t="shared" si="155"/>
        <v>17.071791096819187</v>
      </c>
      <c r="BZ98" s="73">
        <f t="shared" si="156"/>
        <v>4812.317742975363</v>
      </c>
      <c r="CA98" s="42"/>
      <c r="CB98" s="92">
        <v>783</v>
      </c>
      <c r="CC98" s="92">
        <f t="shared" si="157"/>
        <v>293.76</v>
      </c>
      <c r="CD98" s="92">
        <f t="shared" si="158"/>
        <v>5.333333333333333</v>
      </c>
      <c r="CE98" s="92">
        <f t="shared" si="159"/>
        <v>51.84</v>
      </c>
      <c r="CF98" s="92">
        <v>8</v>
      </c>
      <c r="CG98" s="92">
        <v>6</v>
      </c>
      <c r="CH98" s="92">
        <v>4</v>
      </c>
      <c r="CI98" s="93">
        <f t="shared" si="160"/>
        <v>16.268182825075687</v>
      </c>
      <c r="CJ98" s="73">
        <f t="shared" si="161"/>
        <v>5610.83182136736</v>
      </c>
      <c r="CK98" s="42"/>
      <c r="CL98" s="92">
        <v>353</v>
      </c>
      <c r="CM98" s="92">
        <f t="shared" si="162"/>
        <v>293.76</v>
      </c>
      <c r="CN98" s="92">
        <f t="shared" si="163"/>
        <v>5.333333333333333</v>
      </c>
      <c r="CO98" s="92">
        <f t="shared" si="164"/>
        <v>51.84</v>
      </c>
      <c r="CP98" s="92">
        <v>8</v>
      </c>
      <c r="CQ98" s="92">
        <v>6</v>
      </c>
      <c r="CR98" s="92">
        <v>1</v>
      </c>
      <c r="CS98" s="93">
        <f t="shared" si="165"/>
        <v>17.071791096819187</v>
      </c>
      <c r="CT98" s="73">
        <f t="shared" si="202"/>
        <v>5722.734260521773</v>
      </c>
      <c r="CU98" s="42"/>
      <c r="CV98" s="92">
        <v>472</v>
      </c>
      <c r="CW98" s="92">
        <f t="shared" si="167"/>
        <v>293.76</v>
      </c>
      <c r="CX98" s="92">
        <f t="shared" si="168"/>
        <v>5.333333333333333</v>
      </c>
      <c r="CY98" s="92">
        <f t="shared" si="192"/>
        <v>51.84</v>
      </c>
      <c r="CZ98" s="92">
        <v>8</v>
      </c>
      <c r="DA98" s="92">
        <v>6</v>
      </c>
      <c r="DB98" s="92">
        <v>1</v>
      </c>
      <c r="DC98" s="93">
        <f t="shared" si="169"/>
        <v>17.071791096819187</v>
      </c>
      <c r="DD98" s="73">
        <f t="shared" si="203"/>
        <v>4895.772849633403</v>
      </c>
      <c r="DE98" s="42"/>
      <c r="DF98" s="73">
        <v>1888</v>
      </c>
      <c r="DG98" s="73">
        <f t="shared" si="171"/>
        <v>293.76</v>
      </c>
      <c r="DH98" s="73">
        <f t="shared" si="172"/>
        <v>5.333333333333333</v>
      </c>
      <c r="DI98" s="73">
        <f t="shared" si="173"/>
        <v>51.84</v>
      </c>
      <c r="DJ98" s="92">
        <v>8</v>
      </c>
      <c r="DK98" s="92">
        <v>6</v>
      </c>
      <c r="DL98" s="92">
        <v>1</v>
      </c>
      <c r="DM98" s="93">
        <f t="shared" si="174"/>
        <v>17.071791096819187</v>
      </c>
      <c r="DN98" s="73">
        <f t="shared" si="204"/>
        <v>4967.769509186835</v>
      </c>
      <c r="DO98" s="42"/>
      <c r="DP98" s="92">
        <v>445</v>
      </c>
      <c r="DQ98" s="73">
        <f t="shared" si="176"/>
        <v>293.76</v>
      </c>
      <c r="DR98" s="92">
        <f t="shared" si="177"/>
        <v>18.75</v>
      </c>
      <c r="DS98" s="73">
        <f t="shared" si="178"/>
        <v>51.84</v>
      </c>
      <c r="DT98" s="92">
        <v>8</v>
      </c>
      <c r="DU98" s="92">
        <v>6</v>
      </c>
      <c r="DV98" s="92">
        <v>1</v>
      </c>
      <c r="DW98" s="93">
        <f t="shared" si="179"/>
        <v>54.5667992530253</v>
      </c>
      <c r="DX98" s="92">
        <f t="shared" si="180"/>
        <v>7132.580906351305</v>
      </c>
      <c r="DY98" s="42"/>
      <c r="DZ98" s="73">
        <v>587</v>
      </c>
      <c r="EA98" s="92">
        <f t="shared" si="181"/>
        <v>293.76</v>
      </c>
      <c r="EB98" s="92">
        <f t="shared" si="182"/>
        <v>5.333333333333333</v>
      </c>
      <c r="EC98" s="92">
        <f t="shared" si="183"/>
        <v>51.84</v>
      </c>
      <c r="ED98" s="92">
        <v>8</v>
      </c>
      <c r="EE98" s="92">
        <v>6</v>
      </c>
      <c r="EF98" s="92">
        <v>1</v>
      </c>
      <c r="EG98" s="93">
        <f t="shared" si="184"/>
        <v>17.071791096819187</v>
      </c>
      <c r="EH98" s="92">
        <f t="shared" si="185"/>
        <v>5508.724757836891</v>
      </c>
      <c r="EI98" s="42"/>
      <c r="EJ98" s="92">
        <v>450</v>
      </c>
      <c r="EK98" s="73">
        <f t="shared" si="193"/>
        <v>12.24</v>
      </c>
      <c r="EL98" s="73">
        <f t="shared" si="194"/>
        <v>5.333333333333333</v>
      </c>
      <c r="EM98" s="73">
        <f t="shared" si="195"/>
        <v>20.736</v>
      </c>
      <c r="EN98" s="92">
        <v>8</v>
      </c>
      <c r="EO98" s="92">
        <v>6</v>
      </c>
      <c r="EP98" s="92">
        <v>1</v>
      </c>
      <c r="EQ98" s="93">
        <f t="shared" si="186"/>
        <v>10.94798563921637</v>
      </c>
      <c r="ER98" s="73">
        <f t="shared" si="211"/>
        <v>5552.818058636932</v>
      </c>
      <c r="ES98" s="42"/>
      <c r="ET98" s="142">
        <v>0</v>
      </c>
      <c r="EU98" s="142">
        <v>0</v>
      </c>
      <c r="EV98" s="142">
        <v>6</v>
      </c>
      <c r="EW98" s="142">
        <v>39.8</v>
      </c>
      <c r="EX98" s="142">
        <v>0</v>
      </c>
      <c r="EY98" s="142">
        <v>0</v>
      </c>
      <c r="EZ98" s="142">
        <v>0</v>
      </c>
      <c r="FA98" s="142">
        <v>4.8</v>
      </c>
      <c r="FB98" s="142">
        <v>49.4</v>
      </c>
      <c r="FC98" s="92">
        <f t="shared" si="188"/>
        <v>5560.125396450489</v>
      </c>
      <c r="FE98" s="142">
        <v>611</v>
      </c>
      <c r="FF98" s="167">
        <f t="shared" si="196"/>
        <v>293.76</v>
      </c>
      <c r="FG98" s="167">
        <f t="shared" si="197"/>
        <v>5.333333333333333</v>
      </c>
      <c r="FH98" s="167">
        <f t="shared" si="199"/>
        <v>51.84</v>
      </c>
      <c r="FI98" s="167">
        <v>8</v>
      </c>
      <c r="FJ98" s="167">
        <v>6</v>
      </c>
      <c r="FK98" s="142">
        <v>1</v>
      </c>
      <c r="FL98" s="142">
        <f t="shared" si="198"/>
        <v>17.071791096819187</v>
      </c>
      <c r="FM98" s="142">
        <f t="shared" si="207"/>
        <v>4694.742551625276</v>
      </c>
    </row>
    <row r="99" spans="1:169" s="4" customFormat="1" ht="17.25">
      <c r="A99" s="105">
        <v>92</v>
      </c>
      <c r="B99" s="94" t="s">
        <v>478</v>
      </c>
      <c r="C99" s="75">
        <v>1</v>
      </c>
      <c r="D99" s="94">
        <v>3</v>
      </c>
      <c r="E99" s="75">
        <v>575</v>
      </c>
      <c r="F99" s="75">
        <v>1800</v>
      </c>
      <c r="G99" s="75">
        <v>1350</v>
      </c>
      <c r="H99" s="94">
        <v>384</v>
      </c>
      <c r="I99" s="72">
        <f>J99/2</f>
        <v>32</v>
      </c>
      <c r="J99" s="94">
        <v>64</v>
      </c>
      <c r="K99" s="94">
        <v>24</v>
      </c>
      <c r="L99" s="100" t="s">
        <v>30</v>
      </c>
      <c r="M99" s="94">
        <v>128</v>
      </c>
      <c r="N99" s="100" t="s">
        <v>30</v>
      </c>
      <c r="O99" s="94" t="s">
        <v>21</v>
      </c>
      <c r="P99" s="77">
        <f t="shared" si="135"/>
        <v>298.42981247390026</v>
      </c>
      <c r="Q99" s="78">
        <f t="shared" si="200"/>
        <v>5027.4154238821575</v>
      </c>
      <c r="R99" s="78">
        <f t="shared" si="191"/>
        <v>4223.836759931984</v>
      </c>
      <c r="S99" s="89">
        <v>768</v>
      </c>
      <c r="T99" s="102">
        <v>70</v>
      </c>
      <c r="U99" s="102">
        <v>185</v>
      </c>
      <c r="V99" s="94" t="s">
        <v>55</v>
      </c>
      <c r="W99" s="94" t="s">
        <v>38</v>
      </c>
      <c r="X99" s="14" t="s">
        <v>39</v>
      </c>
      <c r="Y99" s="94" t="s">
        <v>40</v>
      </c>
      <c r="Z99" s="81">
        <v>10.5</v>
      </c>
      <c r="AA99" s="124" t="s">
        <v>559</v>
      </c>
      <c r="AB99" s="94">
        <v>10</v>
      </c>
      <c r="AC99" s="96">
        <v>3</v>
      </c>
      <c r="AD99" s="97">
        <v>484</v>
      </c>
      <c r="AE99" s="98">
        <f>681*C99</f>
        <v>681</v>
      </c>
      <c r="AF99" s="99">
        <v>90</v>
      </c>
      <c r="AG99" s="94"/>
      <c r="AH99" s="91"/>
      <c r="AI99" s="87">
        <f t="shared" si="136"/>
        <v>18.4</v>
      </c>
      <c r="AJ99" s="91">
        <f t="shared" si="137"/>
        <v>36.8</v>
      </c>
      <c r="AK99" s="91">
        <f t="shared" si="138"/>
        <v>13.8</v>
      </c>
      <c r="AL99" s="87">
        <f t="shared" si="139"/>
        <v>57.6</v>
      </c>
      <c r="AM99" s="92">
        <f t="shared" si="189"/>
        <v>86.4</v>
      </c>
      <c r="AN99" s="92">
        <f t="shared" si="210"/>
        <v>1</v>
      </c>
      <c r="AO99" s="87">
        <v>2</v>
      </c>
      <c r="AP99" s="87">
        <v>1</v>
      </c>
      <c r="AQ99" s="87">
        <v>1</v>
      </c>
      <c r="AR99" s="87">
        <v>5</v>
      </c>
      <c r="AS99" s="87">
        <v>5</v>
      </c>
      <c r="AT99" s="87">
        <v>1</v>
      </c>
      <c r="AU99" s="87">
        <v>1.3</v>
      </c>
      <c r="AV99" s="87">
        <v>1</v>
      </c>
      <c r="AW99" s="87">
        <f t="shared" si="141"/>
        <v>27.599999999999998</v>
      </c>
      <c r="AX99" s="87">
        <f t="shared" si="142"/>
        <v>23.657142857142862</v>
      </c>
      <c r="AY99" s="91">
        <f t="shared" si="143"/>
        <v>46.48421052631579</v>
      </c>
      <c r="AZ99" s="91">
        <f t="shared" si="144"/>
        <v>62.91204404679972</v>
      </c>
      <c r="BA99" s="91"/>
      <c r="BB99" s="73">
        <v>0.02</v>
      </c>
      <c r="BC99" s="73">
        <f t="shared" si="146"/>
        <v>61.65380316586373</v>
      </c>
      <c r="BD99" s="73">
        <v>4.840412061378459</v>
      </c>
      <c r="BE99" s="87">
        <v>5.7504095289176105</v>
      </c>
      <c r="BF99" s="42"/>
      <c r="BG99" s="42"/>
      <c r="BH99" s="92">
        <v>548</v>
      </c>
      <c r="BI99" s="92">
        <f t="shared" si="147"/>
        <v>276</v>
      </c>
      <c r="BJ99" s="92">
        <f t="shared" si="148"/>
        <v>4.8</v>
      </c>
      <c r="BK99" s="87">
        <f t="shared" si="149"/>
        <v>43.2</v>
      </c>
      <c r="BL99" s="87">
        <v>8</v>
      </c>
      <c r="BM99" s="87">
        <v>6</v>
      </c>
      <c r="BN99" s="87">
        <v>1</v>
      </c>
      <c r="BO99" s="93">
        <f t="shared" si="150"/>
        <v>15.359406399752668</v>
      </c>
      <c r="BP99" s="92">
        <f t="shared" si="151"/>
        <v>3631.0981412990454</v>
      </c>
      <c r="BQ99" s="42"/>
      <c r="BR99" s="92">
        <v>375</v>
      </c>
      <c r="BS99" s="92">
        <f t="shared" si="152"/>
        <v>276</v>
      </c>
      <c r="BT99" s="92">
        <f t="shared" si="153"/>
        <v>4.8</v>
      </c>
      <c r="BU99" s="92">
        <f t="shared" si="154"/>
        <v>43.2</v>
      </c>
      <c r="BV99" s="92">
        <v>8</v>
      </c>
      <c r="BW99" s="92">
        <v>6</v>
      </c>
      <c r="BX99" s="92">
        <v>1</v>
      </c>
      <c r="BY99" s="93">
        <f t="shared" si="155"/>
        <v>15.359406399752668</v>
      </c>
      <c r="BZ99" s="73">
        <f t="shared" si="156"/>
        <v>4334.197380039202</v>
      </c>
      <c r="CA99" s="42"/>
      <c r="CB99" s="92">
        <v>783</v>
      </c>
      <c r="CC99" s="92">
        <f t="shared" si="157"/>
        <v>276</v>
      </c>
      <c r="CD99" s="92">
        <f t="shared" si="158"/>
        <v>4.8</v>
      </c>
      <c r="CE99" s="92">
        <f t="shared" si="159"/>
        <v>43.2</v>
      </c>
      <c r="CF99" s="92">
        <v>8</v>
      </c>
      <c r="CG99" s="92">
        <v>6</v>
      </c>
      <c r="CH99" s="92">
        <v>4</v>
      </c>
      <c r="CI99" s="93">
        <f t="shared" si="160"/>
        <v>14.581743469327856</v>
      </c>
      <c r="CJ99" s="73">
        <f t="shared" si="161"/>
        <v>5001.7407886325755</v>
      </c>
      <c r="CK99" s="42"/>
      <c r="CL99" s="92">
        <v>353</v>
      </c>
      <c r="CM99" s="92">
        <f t="shared" si="162"/>
        <v>276</v>
      </c>
      <c r="CN99" s="92">
        <f t="shared" si="163"/>
        <v>4.8</v>
      </c>
      <c r="CO99" s="92">
        <f t="shared" si="164"/>
        <v>43.2</v>
      </c>
      <c r="CP99" s="92">
        <v>8</v>
      </c>
      <c r="CQ99" s="92">
        <v>6</v>
      </c>
      <c r="CR99" s="92">
        <v>1</v>
      </c>
      <c r="CS99" s="93">
        <f t="shared" si="165"/>
        <v>15.359406399752668</v>
      </c>
      <c r="CT99" s="73">
        <f t="shared" si="202"/>
        <v>5165.0682338111055</v>
      </c>
      <c r="CU99" s="42"/>
      <c r="CV99" s="92">
        <v>472</v>
      </c>
      <c r="CW99" s="92">
        <f t="shared" si="167"/>
        <v>276</v>
      </c>
      <c r="CX99" s="92">
        <f t="shared" si="168"/>
        <v>4.8</v>
      </c>
      <c r="CY99" s="92">
        <f t="shared" si="192"/>
        <v>43.2</v>
      </c>
      <c r="CZ99" s="92">
        <v>8</v>
      </c>
      <c r="DA99" s="92">
        <v>6</v>
      </c>
      <c r="DB99" s="92">
        <v>1</v>
      </c>
      <c r="DC99" s="93">
        <f t="shared" si="169"/>
        <v>15.359406399752668</v>
      </c>
      <c r="DD99" s="73">
        <f t="shared" si="203"/>
        <v>4432.725956514615</v>
      </c>
      <c r="DE99" s="42"/>
      <c r="DF99" s="73">
        <v>1888</v>
      </c>
      <c r="DG99" s="73">
        <f t="shared" si="171"/>
        <v>276</v>
      </c>
      <c r="DH99" s="73">
        <f t="shared" si="172"/>
        <v>4.8</v>
      </c>
      <c r="DI99" s="73">
        <f t="shared" si="173"/>
        <v>43.2</v>
      </c>
      <c r="DJ99" s="92">
        <v>8</v>
      </c>
      <c r="DK99" s="92">
        <v>6</v>
      </c>
      <c r="DL99" s="92">
        <v>1</v>
      </c>
      <c r="DM99" s="93">
        <f t="shared" si="174"/>
        <v>15.359406399752668</v>
      </c>
      <c r="DN99" s="73">
        <f t="shared" si="204"/>
        <v>4497.913102933947</v>
      </c>
      <c r="DO99" s="42"/>
      <c r="DP99" s="92">
        <v>445</v>
      </c>
      <c r="DQ99" s="73">
        <f t="shared" si="176"/>
        <v>276</v>
      </c>
      <c r="DR99" s="92">
        <f t="shared" si="177"/>
        <v>15.1875</v>
      </c>
      <c r="DS99" s="73">
        <f t="shared" si="178"/>
        <v>43.2</v>
      </c>
      <c r="DT99" s="92">
        <v>8</v>
      </c>
      <c r="DU99" s="92">
        <v>6</v>
      </c>
      <c r="DV99" s="92">
        <v>1</v>
      </c>
      <c r="DW99" s="93">
        <f t="shared" si="179"/>
        <v>44.7231807951988</v>
      </c>
      <c r="DX99" s="92">
        <f t="shared" si="180"/>
        <v>5939.673519832498</v>
      </c>
      <c r="DY99" s="42"/>
      <c r="DZ99" s="73">
        <v>587</v>
      </c>
      <c r="EA99" s="92">
        <f t="shared" si="181"/>
        <v>276</v>
      </c>
      <c r="EB99" s="92">
        <f t="shared" si="182"/>
        <v>4.8</v>
      </c>
      <c r="EC99" s="92">
        <f t="shared" si="183"/>
        <v>43.2</v>
      </c>
      <c r="ED99" s="92">
        <v>8</v>
      </c>
      <c r="EE99" s="92">
        <v>6</v>
      </c>
      <c r="EF99" s="92">
        <v>1</v>
      </c>
      <c r="EG99" s="93">
        <f t="shared" si="184"/>
        <v>15.359406399752668</v>
      </c>
      <c r="EH99" s="92">
        <f t="shared" si="185"/>
        <v>4930.048419305932</v>
      </c>
      <c r="EI99" s="42"/>
      <c r="EJ99" s="92">
        <v>450</v>
      </c>
      <c r="EK99" s="73">
        <f t="shared" si="193"/>
        <v>11.5</v>
      </c>
      <c r="EL99" s="73">
        <f t="shared" si="194"/>
        <v>4.8</v>
      </c>
      <c r="EM99" s="73">
        <f t="shared" si="195"/>
        <v>17.28</v>
      </c>
      <c r="EN99" s="92">
        <v>8</v>
      </c>
      <c r="EO99" s="92">
        <v>6</v>
      </c>
      <c r="EP99" s="92">
        <v>1</v>
      </c>
      <c r="EQ99" s="93">
        <f t="shared" si="186"/>
        <v>9.9824182448385</v>
      </c>
      <c r="ER99" s="73">
        <f t="shared" si="211"/>
        <v>5039.762421390453</v>
      </c>
      <c r="ES99" s="42"/>
      <c r="ET99" s="142">
        <v>0</v>
      </c>
      <c r="EU99" s="142">
        <v>0</v>
      </c>
      <c r="EV99" s="142">
        <v>6</v>
      </c>
      <c r="EW99" s="142">
        <v>39.8</v>
      </c>
      <c r="EX99" s="142">
        <v>0</v>
      </c>
      <c r="EY99" s="142">
        <v>0</v>
      </c>
      <c r="EZ99" s="142">
        <v>0</v>
      </c>
      <c r="FA99" s="142">
        <v>4.8</v>
      </c>
      <c r="FB99" s="142">
        <v>49.4</v>
      </c>
      <c r="FC99" s="92">
        <f t="shared" si="188"/>
        <v>5027.4154238821575</v>
      </c>
      <c r="FE99" s="142">
        <v>611</v>
      </c>
      <c r="FF99" s="167">
        <f t="shared" si="196"/>
        <v>276</v>
      </c>
      <c r="FG99" s="167">
        <f t="shared" si="197"/>
        <v>4.8</v>
      </c>
      <c r="FH99" s="167">
        <f t="shared" si="199"/>
        <v>43.2</v>
      </c>
      <c r="FI99" s="167">
        <v>8</v>
      </c>
      <c r="FJ99" s="167">
        <v>6</v>
      </c>
      <c r="FK99" s="142">
        <v>1</v>
      </c>
      <c r="FL99" s="142">
        <f t="shared" si="198"/>
        <v>15.359406399752668</v>
      </c>
      <c r="FM99" s="142">
        <f t="shared" si="207"/>
        <v>4223.836759931984</v>
      </c>
    </row>
    <row r="100" spans="1:169" s="4" customFormat="1" ht="17.25">
      <c r="A100" s="105">
        <v>93</v>
      </c>
      <c r="B100" s="94" t="s">
        <v>479</v>
      </c>
      <c r="C100" s="75">
        <v>1</v>
      </c>
      <c r="D100" s="94">
        <v>2</v>
      </c>
      <c r="E100" s="75">
        <v>512</v>
      </c>
      <c r="F100" s="75">
        <v>1600</v>
      </c>
      <c r="G100" s="75">
        <v>1188</v>
      </c>
      <c r="H100" s="94">
        <v>320</v>
      </c>
      <c r="I100" s="72">
        <f>J100/2</f>
        <v>28</v>
      </c>
      <c r="J100" s="94">
        <v>56</v>
      </c>
      <c r="K100" s="94">
        <v>20</v>
      </c>
      <c r="L100" s="100" t="s">
        <v>30</v>
      </c>
      <c r="M100" s="94">
        <v>112</v>
      </c>
      <c r="N100" s="100" t="s">
        <v>30</v>
      </c>
      <c r="O100" s="94" t="s">
        <v>21</v>
      </c>
      <c r="P100" s="77">
        <f t="shared" si="135"/>
        <v>226.01223098292158</v>
      </c>
      <c r="Q100" s="78">
        <f t="shared" si="200"/>
        <v>3820.2809950546753</v>
      </c>
      <c r="R100" s="78">
        <f t="shared" si="191"/>
        <v>3247.3491882825138</v>
      </c>
      <c r="S100" s="89">
        <v>640</v>
      </c>
      <c r="T100" s="102">
        <v>60</v>
      </c>
      <c r="U100" s="102">
        <v>140</v>
      </c>
      <c r="V100" s="94" t="s">
        <v>55</v>
      </c>
      <c r="W100" s="94" t="s">
        <v>42</v>
      </c>
      <c r="X100" s="14" t="s">
        <v>41</v>
      </c>
      <c r="Y100" s="94" t="s">
        <v>40</v>
      </c>
      <c r="Z100" s="95">
        <v>9</v>
      </c>
      <c r="AA100" s="124" t="s">
        <v>559</v>
      </c>
      <c r="AB100" s="94">
        <v>10</v>
      </c>
      <c r="AC100" s="96">
        <v>3</v>
      </c>
      <c r="AD100" s="97">
        <v>484</v>
      </c>
      <c r="AE100" s="98">
        <f>681*C100</f>
        <v>681</v>
      </c>
      <c r="AF100" s="99">
        <v>90</v>
      </c>
      <c r="AG100" s="94"/>
      <c r="AH100" s="91"/>
      <c r="AI100" s="87">
        <f t="shared" si="136"/>
        <v>14.336</v>
      </c>
      <c r="AJ100" s="91">
        <f t="shared" si="137"/>
        <v>28.672</v>
      </c>
      <c r="AK100" s="91">
        <f t="shared" si="138"/>
        <v>10.24</v>
      </c>
      <c r="AL100" s="87">
        <f t="shared" si="139"/>
        <v>44.352</v>
      </c>
      <c r="AM100" s="92">
        <f t="shared" si="189"/>
        <v>64</v>
      </c>
      <c r="AN100" s="92">
        <f t="shared" si="210"/>
        <v>1</v>
      </c>
      <c r="AO100" s="87">
        <v>2</v>
      </c>
      <c r="AP100" s="87">
        <v>1</v>
      </c>
      <c r="AQ100" s="87">
        <v>1</v>
      </c>
      <c r="AR100" s="87">
        <v>5</v>
      </c>
      <c r="AS100" s="87">
        <v>5</v>
      </c>
      <c r="AT100" s="87">
        <v>1</v>
      </c>
      <c r="AU100" s="87">
        <v>1.3</v>
      </c>
      <c r="AV100" s="87">
        <v>1</v>
      </c>
      <c r="AW100" s="87">
        <f t="shared" si="141"/>
        <v>21.504</v>
      </c>
      <c r="AX100" s="87">
        <f t="shared" si="142"/>
        <v>18.17239436619718</v>
      </c>
      <c r="AY100" s="91">
        <f t="shared" si="143"/>
        <v>35.76473750524989</v>
      </c>
      <c r="AZ100" s="91">
        <f t="shared" si="144"/>
        <v>47.64568027852973</v>
      </c>
      <c r="BA100" s="91"/>
      <c r="BB100" s="73">
        <v>0.02</v>
      </c>
      <c r="BC100" s="73">
        <f t="shared" si="146"/>
        <v>46.69276667295914</v>
      </c>
      <c r="BD100" s="73">
        <v>4.840412061378459</v>
      </c>
      <c r="BE100" s="87">
        <v>5.7504095289176105</v>
      </c>
      <c r="BF100" s="42"/>
      <c r="BG100" s="42"/>
      <c r="BH100" s="92">
        <v>548</v>
      </c>
      <c r="BI100" s="92">
        <f t="shared" si="147"/>
        <v>204.8</v>
      </c>
      <c r="BJ100" s="92">
        <f t="shared" si="148"/>
        <v>3.696</v>
      </c>
      <c r="BK100" s="87">
        <f t="shared" si="149"/>
        <v>32</v>
      </c>
      <c r="BL100" s="87">
        <v>8</v>
      </c>
      <c r="BM100" s="87">
        <v>6</v>
      </c>
      <c r="BN100" s="87">
        <v>1</v>
      </c>
      <c r="BO100" s="93">
        <f t="shared" si="150"/>
        <v>11.808542502845505</v>
      </c>
      <c r="BP100" s="92">
        <f t="shared" si="151"/>
        <v>2733.5410605811517</v>
      </c>
      <c r="BQ100" s="42"/>
      <c r="BR100" s="92">
        <v>375</v>
      </c>
      <c r="BS100" s="92">
        <f t="shared" si="152"/>
        <v>204.8</v>
      </c>
      <c r="BT100" s="92">
        <f t="shared" si="153"/>
        <v>3.696</v>
      </c>
      <c r="BU100" s="92">
        <f t="shared" si="154"/>
        <v>32</v>
      </c>
      <c r="BV100" s="92">
        <v>8</v>
      </c>
      <c r="BW100" s="92">
        <v>6</v>
      </c>
      <c r="BX100" s="92">
        <v>1</v>
      </c>
      <c r="BY100" s="93">
        <f t="shared" si="155"/>
        <v>11.808542502845505</v>
      </c>
      <c r="BZ100" s="73">
        <f t="shared" si="156"/>
        <v>3340.9681236408233</v>
      </c>
      <c r="CA100" s="42"/>
      <c r="CB100" s="92">
        <v>783</v>
      </c>
      <c r="CC100" s="92">
        <f t="shared" si="157"/>
        <v>204.8</v>
      </c>
      <c r="CD100" s="92">
        <f t="shared" si="158"/>
        <v>3.696</v>
      </c>
      <c r="CE100" s="92">
        <f t="shared" si="159"/>
        <v>32</v>
      </c>
      <c r="CF100" s="92">
        <v>8</v>
      </c>
      <c r="CG100" s="92">
        <v>6</v>
      </c>
      <c r="CH100" s="92">
        <v>4</v>
      </c>
      <c r="CI100" s="93">
        <f t="shared" si="160"/>
        <v>11.189192257478572</v>
      </c>
      <c r="CJ100" s="73">
        <f t="shared" si="161"/>
        <v>3787.5635434536207</v>
      </c>
      <c r="CK100" s="42"/>
      <c r="CL100" s="92">
        <v>353</v>
      </c>
      <c r="CM100" s="92">
        <f t="shared" si="162"/>
        <v>204.8</v>
      </c>
      <c r="CN100" s="92">
        <f t="shared" si="163"/>
        <v>3.696</v>
      </c>
      <c r="CO100" s="92">
        <f t="shared" si="164"/>
        <v>32</v>
      </c>
      <c r="CP100" s="92">
        <v>8</v>
      </c>
      <c r="CQ100" s="92">
        <v>6</v>
      </c>
      <c r="CR100" s="92">
        <v>1</v>
      </c>
      <c r="CS100" s="93">
        <f t="shared" si="165"/>
        <v>11.808542502845505</v>
      </c>
      <c r="CT100" s="73">
        <f t="shared" si="202"/>
        <v>4002.425645725293</v>
      </c>
      <c r="CU100" s="42"/>
      <c r="CV100" s="92">
        <v>472</v>
      </c>
      <c r="CW100" s="92">
        <f t="shared" si="167"/>
        <v>204.8</v>
      </c>
      <c r="CX100" s="92">
        <f t="shared" si="168"/>
        <v>3.696</v>
      </c>
      <c r="CY100" s="92">
        <f t="shared" si="192"/>
        <v>32</v>
      </c>
      <c r="CZ100" s="92">
        <v>8</v>
      </c>
      <c r="DA100" s="92">
        <v>6</v>
      </c>
      <c r="DB100" s="92">
        <v>1</v>
      </c>
      <c r="DC100" s="93">
        <f t="shared" si="169"/>
        <v>11.808542502845505</v>
      </c>
      <c r="DD100" s="73">
        <f t="shared" si="203"/>
        <v>3462.130518882724</v>
      </c>
      <c r="DE100" s="42"/>
      <c r="DF100" s="73">
        <v>1888</v>
      </c>
      <c r="DG100" s="73">
        <f t="shared" si="171"/>
        <v>204.8</v>
      </c>
      <c r="DH100" s="73">
        <f t="shared" si="172"/>
        <v>3.696</v>
      </c>
      <c r="DI100" s="73">
        <f t="shared" si="173"/>
        <v>32</v>
      </c>
      <c r="DJ100" s="92">
        <v>8</v>
      </c>
      <c r="DK100" s="92">
        <v>6</v>
      </c>
      <c r="DL100" s="92">
        <v>1</v>
      </c>
      <c r="DM100" s="93">
        <f t="shared" si="174"/>
        <v>11.808542502845505</v>
      </c>
      <c r="DN100" s="73">
        <f t="shared" si="204"/>
        <v>3513.0442029839405</v>
      </c>
      <c r="DO100" s="42"/>
      <c r="DP100" s="92">
        <v>445</v>
      </c>
      <c r="DQ100" s="73">
        <f t="shared" si="176"/>
        <v>204.8</v>
      </c>
      <c r="DR100" s="92">
        <f t="shared" si="177"/>
        <v>11.7612</v>
      </c>
      <c r="DS100" s="73">
        <f t="shared" si="178"/>
        <v>32</v>
      </c>
      <c r="DT100" s="92">
        <v>8</v>
      </c>
      <c r="DU100" s="92">
        <v>6</v>
      </c>
      <c r="DV100" s="92">
        <v>1</v>
      </c>
      <c r="DW100" s="93">
        <f t="shared" si="179"/>
        <v>34.45516328416705</v>
      </c>
      <c r="DX100" s="92">
        <f t="shared" si="180"/>
        <v>4672.469471414149</v>
      </c>
      <c r="DY100" s="42"/>
      <c r="DZ100" s="73">
        <v>587</v>
      </c>
      <c r="EA100" s="92">
        <f t="shared" si="181"/>
        <v>204.8</v>
      </c>
      <c r="EB100" s="92">
        <f t="shared" si="182"/>
        <v>3.696</v>
      </c>
      <c r="EC100" s="92">
        <f t="shared" si="183"/>
        <v>32</v>
      </c>
      <c r="ED100" s="92">
        <v>8</v>
      </c>
      <c r="EE100" s="92">
        <v>6</v>
      </c>
      <c r="EF100" s="92">
        <v>1</v>
      </c>
      <c r="EG100" s="93">
        <f t="shared" si="184"/>
        <v>11.808542502845505</v>
      </c>
      <c r="EH100" s="92">
        <f t="shared" si="185"/>
        <v>3740.7970181608766</v>
      </c>
      <c r="EI100" s="42"/>
      <c r="EJ100" s="92">
        <v>450</v>
      </c>
      <c r="EK100" s="73">
        <f t="shared" si="193"/>
        <v>8.533333333333333</v>
      </c>
      <c r="EL100" s="73">
        <f t="shared" si="194"/>
        <v>3.696</v>
      </c>
      <c r="EM100" s="73">
        <f t="shared" si="195"/>
        <v>12.8</v>
      </c>
      <c r="EN100" s="92">
        <v>8</v>
      </c>
      <c r="EO100" s="92">
        <v>6</v>
      </c>
      <c r="EP100" s="92">
        <v>1</v>
      </c>
      <c r="EQ100" s="93">
        <f t="shared" si="186"/>
        <v>7.578623606305267</v>
      </c>
      <c r="ER100" s="73">
        <f t="shared" si="211"/>
        <v>3773.830316338663</v>
      </c>
      <c r="ES100" s="42"/>
      <c r="ET100" s="142">
        <v>0</v>
      </c>
      <c r="EU100" s="142">
        <v>0</v>
      </c>
      <c r="EV100" s="142">
        <v>6</v>
      </c>
      <c r="EW100" s="142">
        <v>39.8</v>
      </c>
      <c r="EX100" s="142">
        <v>0</v>
      </c>
      <c r="EY100" s="142">
        <v>0</v>
      </c>
      <c r="EZ100" s="142">
        <v>0</v>
      </c>
      <c r="FA100" s="142">
        <v>4.8</v>
      </c>
      <c r="FB100" s="142">
        <v>49.4</v>
      </c>
      <c r="FC100" s="92">
        <f t="shared" si="188"/>
        <v>3820.2809950546753</v>
      </c>
      <c r="FE100" s="142">
        <v>611</v>
      </c>
      <c r="FF100" s="167">
        <f t="shared" si="196"/>
        <v>204.8</v>
      </c>
      <c r="FG100" s="167">
        <f t="shared" si="197"/>
        <v>3.696</v>
      </c>
      <c r="FH100" s="167">
        <f t="shared" si="199"/>
        <v>32</v>
      </c>
      <c r="FI100" s="167">
        <v>8</v>
      </c>
      <c r="FJ100" s="167">
        <v>6</v>
      </c>
      <c r="FK100" s="142">
        <v>1</v>
      </c>
      <c r="FL100" s="142">
        <f t="shared" si="198"/>
        <v>11.808542502845505</v>
      </c>
      <c r="FM100" s="142">
        <f t="shared" si="207"/>
        <v>3247.3491882825138</v>
      </c>
    </row>
    <row r="101" spans="1:169" s="4" customFormat="1" ht="14.25" customHeight="1">
      <c r="A101" s="105">
        <v>94</v>
      </c>
      <c r="B101" s="94" t="s">
        <v>480</v>
      </c>
      <c r="C101" s="75">
        <v>1</v>
      </c>
      <c r="D101" s="94">
        <v>2</v>
      </c>
      <c r="E101" s="75">
        <v>512</v>
      </c>
      <c r="F101" s="75">
        <v>1600</v>
      </c>
      <c r="G101" s="75">
        <v>1188</v>
      </c>
      <c r="H101" s="94">
        <v>320</v>
      </c>
      <c r="I101" s="72">
        <f>J101/2</f>
        <v>24</v>
      </c>
      <c r="J101" s="94">
        <v>48</v>
      </c>
      <c r="K101" s="94">
        <v>20</v>
      </c>
      <c r="L101" s="100" t="s">
        <v>30</v>
      </c>
      <c r="M101" s="94">
        <v>96</v>
      </c>
      <c r="N101" s="100" t="s">
        <v>30</v>
      </c>
      <c r="O101" s="94" t="s">
        <v>21</v>
      </c>
      <c r="P101" s="77">
        <f t="shared" si="135"/>
        <v>207.890368233321</v>
      </c>
      <c r="Q101" s="78">
        <f t="shared" si="200"/>
        <v>3377.4505820373183</v>
      </c>
      <c r="R101" s="78">
        <f t="shared" si="191"/>
        <v>2800.0482101964567</v>
      </c>
      <c r="S101" s="89">
        <v>640</v>
      </c>
      <c r="T101" s="102">
        <v>60</v>
      </c>
      <c r="U101" s="102">
        <v>135</v>
      </c>
      <c r="V101" s="94" t="s">
        <v>55</v>
      </c>
      <c r="W101" s="94" t="s">
        <v>42</v>
      </c>
      <c r="X101" s="14" t="s">
        <v>41</v>
      </c>
      <c r="Y101" s="94" t="s">
        <v>40</v>
      </c>
      <c r="Z101" s="95">
        <v>9</v>
      </c>
      <c r="AA101" s="124" t="s">
        <v>559</v>
      </c>
      <c r="AB101" s="94">
        <v>10</v>
      </c>
      <c r="AC101" s="96">
        <v>3</v>
      </c>
      <c r="AD101" s="97">
        <v>484</v>
      </c>
      <c r="AE101" s="98">
        <f>681*C101</f>
        <v>681</v>
      </c>
      <c r="AF101" s="99">
        <v>90</v>
      </c>
      <c r="AG101" s="94"/>
      <c r="AH101" s="91"/>
      <c r="AI101" s="87">
        <f t="shared" si="136"/>
        <v>12.288</v>
      </c>
      <c r="AJ101" s="91">
        <f t="shared" si="137"/>
        <v>24.576</v>
      </c>
      <c r="AK101" s="91">
        <f t="shared" si="138"/>
        <v>10.24</v>
      </c>
      <c r="AL101" s="87">
        <f t="shared" si="139"/>
        <v>38.016</v>
      </c>
      <c r="AM101" s="92">
        <f t="shared" si="189"/>
        <v>64</v>
      </c>
      <c r="AN101" s="92">
        <f t="shared" si="210"/>
        <v>1</v>
      </c>
      <c r="AO101" s="87">
        <v>2</v>
      </c>
      <c r="AP101" s="87">
        <v>1</v>
      </c>
      <c r="AQ101" s="87">
        <v>1</v>
      </c>
      <c r="AR101" s="87">
        <v>5</v>
      </c>
      <c r="AS101" s="87">
        <v>5</v>
      </c>
      <c r="AT101" s="87">
        <v>1</v>
      </c>
      <c r="AU101" s="87">
        <v>1.3</v>
      </c>
      <c r="AV101" s="87">
        <v>1</v>
      </c>
      <c r="AW101" s="87">
        <f t="shared" si="141"/>
        <v>18.432</v>
      </c>
      <c r="AX101" s="87">
        <f t="shared" si="142"/>
        <v>16.2635294117647</v>
      </c>
      <c r="AY101" s="91">
        <f t="shared" si="143"/>
        <v>31.086337308347527</v>
      </c>
      <c r="AZ101" s="91">
        <f t="shared" si="144"/>
        <v>43.8254070355117</v>
      </c>
      <c r="BA101" s="91"/>
      <c r="BB101" s="73">
        <v>0.02</v>
      </c>
      <c r="BC101" s="73">
        <f t="shared" si="146"/>
        <v>42.94889889480147</v>
      </c>
      <c r="BD101" s="73">
        <v>4.840412061378459</v>
      </c>
      <c r="BE101" s="87">
        <v>5.7504095289176105</v>
      </c>
      <c r="BF101" s="42"/>
      <c r="BG101" s="42"/>
      <c r="BH101" s="92">
        <v>548</v>
      </c>
      <c r="BI101" s="92">
        <f t="shared" si="147"/>
        <v>204.8</v>
      </c>
      <c r="BJ101" s="92">
        <f t="shared" si="148"/>
        <v>3.168</v>
      </c>
      <c r="BK101" s="87">
        <f t="shared" si="149"/>
        <v>32</v>
      </c>
      <c r="BL101" s="87">
        <v>8</v>
      </c>
      <c r="BM101" s="87">
        <v>6</v>
      </c>
      <c r="BN101" s="87">
        <v>1</v>
      </c>
      <c r="BO101" s="93">
        <f t="shared" si="150"/>
        <v>10.181993491623478</v>
      </c>
      <c r="BP101" s="92">
        <f t="shared" si="151"/>
        <v>2329.233572807591</v>
      </c>
      <c r="BQ101" s="42"/>
      <c r="BR101" s="92">
        <v>375</v>
      </c>
      <c r="BS101" s="92">
        <f t="shared" si="152"/>
        <v>204.8</v>
      </c>
      <c r="BT101" s="92">
        <f t="shared" si="153"/>
        <v>3.168</v>
      </c>
      <c r="BU101" s="92">
        <f t="shared" si="154"/>
        <v>32</v>
      </c>
      <c r="BV101" s="92">
        <v>8</v>
      </c>
      <c r="BW101" s="92">
        <v>6</v>
      </c>
      <c r="BX101" s="92">
        <v>1</v>
      </c>
      <c r="BY101" s="93">
        <f t="shared" si="155"/>
        <v>10.181993491623478</v>
      </c>
      <c r="BZ101" s="73">
        <f t="shared" si="156"/>
        <v>2885.04429129667</v>
      </c>
      <c r="CA101" s="42"/>
      <c r="CB101" s="92">
        <v>783</v>
      </c>
      <c r="CC101" s="92">
        <f t="shared" si="157"/>
        <v>204.8</v>
      </c>
      <c r="CD101" s="92">
        <f t="shared" si="158"/>
        <v>3.168</v>
      </c>
      <c r="CE101" s="92">
        <f t="shared" si="159"/>
        <v>32</v>
      </c>
      <c r="CF101" s="92">
        <v>8</v>
      </c>
      <c r="CG101" s="92">
        <v>6</v>
      </c>
      <c r="CH101" s="92">
        <v>4</v>
      </c>
      <c r="CI101" s="93">
        <f t="shared" si="160"/>
        <v>9.718164040032212</v>
      </c>
      <c r="CJ101" s="73">
        <f t="shared" si="161"/>
        <v>3266.515261219919</v>
      </c>
      <c r="CK101" s="42"/>
      <c r="CL101" s="92">
        <v>353</v>
      </c>
      <c r="CM101" s="92">
        <f t="shared" si="162"/>
        <v>204.8</v>
      </c>
      <c r="CN101" s="92">
        <f t="shared" si="163"/>
        <v>3.168</v>
      </c>
      <c r="CO101" s="92">
        <f t="shared" si="164"/>
        <v>32</v>
      </c>
      <c r="CP101" s="92">
        <v>8</v>
      </c>
      <c r="CQ101" s="92">
        <v>6</v>
      </c>
      <c r="CR101" s="92">
        <v>1</v>
      </c>
      <c r="CS101" s="93">
        <f t="shared" si="165"/>
        <v>10.181993491623478</v>
      </c>
      <c r="CT101" s="73">
        <f t="shared" si="202"/>
        <v>3466.495933754469</v>
      </c>
      <c r="CU101" s="42"/>
      <c r="CV101" s="92">
        <v>472</v>
      </c>
      <c r="CW101" s="92">
        <f t="shared" si="167"/>
        <v>204.8</v>
      </c>
      <c r="CX101" s="92">
        <f t="shared" si="168"/>
        <v>3.168</v>
      </c>
      <c r="CY101" s="92">
        <f t="shared" si="192"/>
        <v>32</v>
      </c>
      <c r="CZ101" s="92">
        <v>8</v>
      </c>
      <c r="DA101" s="92">
        <v>6</v>
      </c>
      <c r="DB101" s="92">
        <v>1</v>
      </c>
      <c r="DC101" s="93">
        <f t="shared" si="169"/>
        <v>10.181993491623478</v>
      </c>
      <c r="DD101" s="73">
        <f t="shared" si="203"/>
        <v>3011.9084245130475</v>
      </c>
      <c r="DE101" s="42"/>
      <c r="DF101" s="73">
        <v>1888</v>
      </c>
      <c r="DG101" s="73">
        <f t="shared" si="171"/>
        <v>204.8</v>
      </c>
      <c r="DH101" s="73">
        <f t="shared" si="172"/>
        <v>3.168</v>
      </c>
      <c r="DI101" s="73">
        <f t="shared" si="173"/>
        <v>32</v>
      </c>
      <c r="DJ101" s="92">
        <v>8</v>
      </c>
      <c r="DK101" s="92">
        <v>6</v>
      </c>
      <c r="DL101" s="92">
        <v>1</v>
      </c>
      <c r="DM101" s="93">
        <f t="shared" si="174"/>
        <v>10.181993491623478</v>
      </c>
      <c r="DN101" s="73">
        <f t="shared" si="204"/>
        <v>3056.2011954617687</v>
      </c>
      <c r="DO101" s="42"/>
      <c r="DP101" s="92">
        <v>445</v>
      </c>
      <c r="DQ101" s="73">
        <f t="shared" si="176"/>
        <v>204.8</v>
      </c>
      <c r="DR101" s="92">
        <f t="shared" si="177"/>
        <v>11.7612</v>
      </c>
      <c r="DS101" s="73">
        <f t="shared" si="178"/>
        <v>32</v>
      </c>
      <c r="DT101" s="92">
        <v>8</v>
      </c>
      <c r="DU101" s="92">
        <v>6</v>
      </c>
      <c r="DV101" s="92">
        <v>1</v>
      </c>
      <c r="DW101" s="93">
        <f t="shared" si="179"/>
        <v>34.45516328416705</v>
      </c>
      <c r="DX101" s="92">
        <f t="shared" si="180"/>
        <v>4672.469471414149</v>
      </c>
      <c r="DY101" s="42"/>
      <c r="DZ101" s="73">
        <v>587</v>
      </c>
      <c r="EA101" s="92">
        <f t="shared" si="181"/>
        <v>204.8</v>
      </c>
      <c r="EB101" s="92">
        <f t="shared" si="182"/>
        <v>3.168</v>
      </c>
      <c r="EC101" s="92">
        <f t="shared" si="183"/>
        <v>32</v>
      </c>
      <c r="ED101" s="92">
        <v>8</v>
      </c>
      <c r="EE101" s="92">
        <v>6</v>
      </c>
      <c r="EF101" s="92">
        <v>1</v>
      </c>
      <c r="EG101" s="93">
        <f t="shared" si="184"/>
        <v>10.181993491623478</v>
      </c>
      <c r="EH101" s="92">
        <f t="shared" si="185"/>
        <v>3201.71364738531</v>
      </c>
      <c r="EI101" s="42"/>
      <c r="EJ101" s="92">
        <v>450</v>
      </c>
      <c r="EK101" s="73">
        <f t="shared" si="193"/>
        <v>8.533333333333333</v>
      </c>
      <c r="EL101" s="73">
        <f t="shared" si="194"/>
        <v>3.168</v>
      </c>
      <c r="EM101" s="73">
        <f t="shared" si="195"/>
        <v>12.8</v>
      </c>
      <c r="EN101" s="92">
        <v>8</v>
      </c>
      <c r="EO101" s="92">
        <v>6</v>
      </c>
      <c r="EP101" s="92">
        <v>1</v>
      </c>
      <c r="EQ101" s="93">
        <f t="shared" si="186"/>
        <v>6.873881204231083</v>
      </c>
      <c r="ER101" s="73">
        <f t="shared" si="211"/>
        <v>3406.2352358178823</v>
      </c>
      <c r="ES101" s="42"/>
      <c r="ET101" s="142">
        <v>0</v>
      </c>
      <c r="EU101" s="142">
        <v>0</v>
      </c>
      <c r="EV101" s="142">
        <v>6</v>
      </c>
      <c r="EW101" s="142">
        <v>39.8</v>
      </c>
      <c r="EX101" s="142">
        <v>0</v>
      </c>
      <c r="EY101" s="142">
        <v>0</v>
      </c>
      <c r="EZ101" s="142">
        <v>0</v>
      </c>
      <c r="FA101" s="142">
        <v>4.8</v>
      </c>
      <c r="FB101" s="142">
        <v>49.4</v>
      </c>
      <c r="FC101" s="92">
        <f t="shared" si="188"/>
        <v>3377.4505820373183</v>
      </c>
      <c r="FE101" s="142">
        <v>611</v>
      </c>
      <c r="FF101" s="167">
        <f t="shared" si="196"/>
        <v>204.8</v>
      </c>
      <c r="FG101" s="167">
        <f t="shared" si="197"/>
        <v>3.168</v>
      </c>
      <c r="FH101" s="167">
        <f t="shared" si="199"/>
        <v>32</v>
      </c>
      <c r="FI101" s="167">
        <v>8</v>
      </c>
      <c r="FJ101" s="167">
        <v>6</v>
      </c>
      <c r="FK101" s="142">
        <v>1</v>
      </c>
      <c r="FL101" s="142">
        <f t="shared" si="198"/>
        <v>10.181993491623478</v>
      </c>
      <c r="FM101" s="142">
        <f t="shared" si="207"/>
        <v>2800.0482101964567</v>
      </c>
    </row>
    <row r="102" spans="1:169" s="4" customFormat="1" ht="17.25">
      <c r="A102" s="105">
        <v>95</v>
      </c>
      <c r="B102" s="94" t="s">
        <v>481</v>
      </c>
      <c r="C102" s="75">
        <v>1</v>
      </c>
      <c r="D102" s="94">
        <v>2</v>
      </c>
      <c r="E102" s="75">
        <v>650</v>
      </c>
      <c r="F102" s="75">
        <v>1940</v>
      </c>
      <c r="G102" s="75">
        <v>1625</v>
      </c>
      <c r="H102" s="94">
        <v>256</v>
      </c>
      <c r="I102" s="72">
        <f aca="true" t="shared" si="212" ref="I102:I107">J102</f>
        <v>64</v>
      </c>
      <c r="J102" s="94">
        <v>64</v>
      </c>
      <c r="K102" s="94">
        <v>16</v>
      </c>
      <c r="L102" s="100" t="s">
        <v>30</v>
      </c>
      <c r="M102" s="94">
        <v>128</v>
      </c>
      <c r="N102" s="100" t="s">
        <v>30</v>
      </c>
      <c r="O102" s="94" t="s">
        <v>21</v>
      </c>
      <c r="P102" s="77">
        <f t="shared" si="135"/>
        <v>279.9694582554378</v>
      </c>
      <c r="Q102" s="78">
        <f t="shared" si="200"/>
        <v>5340.201296453052</v>
      </c>
      <c r="R102" s="78">
        <f t="shared" si="191"/>
        <v>4958.798820269906</v>
      </c>
      <c r="S102" s="89">
        <v>512</v>
      </c>
      <c r="T102" s="102">
        <v>45</v>
      </c>
      <c r="U102" s="102">
        <v>150</v>
      </c>
      <c r="V102" s="94" t="s">
        <v>37</v>
      </c>
      <c r="W102" s="94" t="s">
        <v>42</v>
      </c>
      <c r="X102" s="14" t="s">
        <v>41</v>
      </c>
      <c r="Y102" s="94" t="s">
        <v>40</v>
      </c>
      <c r="Z102" s="95">
        <v>9</v>
      </c>
      <c r="AA102" s="124" t="s">
        <v>559</v>
      </c>
      <c r="AB102" s="94">
        <v>10</v>
      </c>
      <c r="AC102" s="96">
        <v>3</v>
      </c>
      <c r="AD102" s="97">
        <v>334</v>
      </c>
      <c r="AE102" s="98">
        <f>754*C102</f>
        <v>754</v>
      </c>
      <c r="AF102" s="99">
        <v>65</v>
      </c>
      <c r="AG102" s="94"/>
      <c r="AH102" s="91"/>
      <c r="AI102" s="87">
        <f t="shared" si="136"/>
        <v>41.6</v>
      </c>
      <c r="AJ102" s="91">
        <f t="shared" si="137"/>
        <v>41.6</v>
      </c>
      <c r="AK102" s="91">
        <f t="shared" si="138"/>
        <v>10.4</v>
      </c>
      <c r="AL102" s="87">
        <f t="shared" si="139"/>
        <v>69.33333333333333</v>
      </c>
      <c r="AM102" s="92">
        <f t="shared" si="189"/>
        <v>62.08</v>
      </c>
      <c r="AN102" s="92">
        <f t="shared" si="210"/>
        <v>1</v>
      </c>
      <c r="AO102" s="87">
        <v>2</v>
      </c>
      <c r="AP102" s="87">
        <v>1</v>
      </c>
      <c r="AQ102" s="87">
        <v>1</v>
      </c>
      <c r="AR102" s="87">
        <v>5</v>
      </c>
      <c r="AS102" s="87">
        <v>5</v>
      </c>
      <c r="AT102" s="87">
        <v>1</v>
      </c>
      <c r="AU102" s="87">
        <v>1.3</v>
      </c>
      <c r="AV102" s="87">
        <v>1</v>
      </c>
      <c r="AW102" s="87">
        <f t="shared" si="141"/>
        <v>41.6</v>
      </c>
      <c r="AX102" s="87">
        <f t="shared" si="142"/>
        <v>27.733333333333338</v>
      </c>
      <c r="AY102" s="91">
        <f t="shared" si="143"/>
        <v>55.46666666666667</v>
      </c>
      <c r="AZ102" s="91">
        <f t="shared" si="144"/>
        <v>59.020413354530994</v>
      </c>
      <c r="BA102" s="91"/>
      <c r="BB102" s="73">
        <v>0.02</v>
      </c>
      <c r="BC102" s="73">
        <f t="shared" si="146"/>
        <v>57.840005087440375</v>
      </c>
      <c r="BD102" s="73">
        <v>4.840412061378459</v>
      </c>
      <c r="BE102" s="87">
        <v>5.7504095289176105</v>
      </c>
      <c r="BF102" s="42"/>
      <c r="BG102" s="42"/>
      <c r="BH102" s="92">
        <v>548</v>
      </c>
      <c r="BI102" s="92">
        <f t="shared" si="147"/>
        <v>208</v>
      </c>
      <c r="BJ102" s="92">
        <f t="shared" si="148"/>
        <v>5.777777777777778</v>
      </c>
      <c r="BK102" s="87">
        <f t="shared" si="149"/>
        <v>31.04</v>
      </c>
      <c r="BL102" s="87">
        <v>8</v>
      </c>
      <c r="BM102" s="87">
        <v>6</v>
      </c>
      <c r="BN102" s="87">
        <v>1</v>
      </c>
      <c r="BO102" s="93">
        <f t="shared" si="150"/>
        <v>18.031995710072387</v>
      </c>
      <c r="BP102" s="92">
        <f t="shared" si="151"/>
        <v>4317.982719519657</v>
      </c>
      <c r="BQ102" s="42"/>
      <c r="BR102" s="92">
        <v>375</v>
      </c>
      <c r="BS102" s="92">
        <f t="shared" si="152"/>
        <v>208</v>
      </c>
      <c r="BT102" s="92">
        <f t="shared" si="153"/>
        <v>5.777777777777778</v>
      </c>
      <c r="BU102" s="92">
        <f t="shared" si="154"/>
        <v>31.04</v>
      </c>
      <c r="BV102" s="92">
        <v>8</v>
      </c>
      <c r="BW102" s="92">
        <v>6</v>
      </c>
      <c r="BX102" s="92">
        <v>1</v>
      </c>
      <c r="BY102" s="93">
        <f t="shared" si="155"/>
        <v>18.031995710072387</v>
      </c>
      <c r="BZ102" s="73">
        <f t="shared" si="156"/>
        <v>5080.206377185911</v>
      </c>
      <c r="CA102" s="42"/>
      <c r="CB102" s="92">
        <v>783</v>
      </c>
      <c r="CC102" s="92">
        <f t="shared" si="157"/>
        <v>208</v>
      </c>
      <c r="CD102" s="92">
        <f t="shared" si="158"/>
        <v>5.777777777777778</v>
      </c>
      <c r="CE102" s="92">
        <f t="shared" si="159"/>
        <v>31.04</v>
      </c>
      <c r="CF102" s="92">
        <v>8</v>
      </c>
      <c r="CG102" s="92">
        <v>6</v>
      </c>
      <c r="CH102" s="92">
        <v>4</v>
      </c>
      <c r="CI102" s="93">
        <f t="shared" si="160"/>
        <v>16.586649128576124</v>
      </c>
      <c r="CJ102" s="73">
        <f t="shared" si="161"/>
        <v>5726.217572205307</v>
      </c>
      <c r="CK102" s="42"/>
      <c r="CL102" s="92">
        <v>353</v>
      </c>
      <c r="CM102" s="92">
        <f t="shared" si="162"/>
        <v>208</v>
      </c>
      <c r="CN102" s="92">
        <f t="shared" si="163"/>
        <v>5.777777777777778</v>
      </c>
      <c r="CO102" s="92">
        <f t="shared" si="164"/>
        <v>31.04</v>
      </c>
      <c r="CP102" s="92">
        <v>8</v>
      </c>
      <c r="CQ102" s="92">
        <v>6</v>
      </c>
      <c r="CR102" s="92">
        <v>1</v>
      </c>
      <c r="CS102" s="93">
        <f t="shared" si="165"/>
        <v>18.031995710072387</v>
      </c>
      <c r="CT102" s="73">
        <f t="shared" si="202"/>
        <v>6034.6952876288815</v>
      </c>
      <c r="CU102" s="42"/>
      <c r="CV102" s="92">
        <v>472</v>
      </c>
      <c r="CW102" s="92">
        <f t="shared" si="167"/>
        <v>208</v>
      </c>
      <c r="CX102" s="92">
        <f t="shared" si="168"/>
        <v>5.777777777777778</v>
      </c>
      <c r="CY102" s="92">
        <f t="shared" si="192"/>
        <v>31.04</v>
      </c>
      <c r="CZ102" s="92">
        <v>8</v>
      </c>
      <c r="DA102" s="92">
        <v>6</v>
      </c>
      <c r="DB102" s="92">
        <v>1</v>
      </c>
      <c r="DC102" s="93">
        <f t="shared" si="169"/>
        <v>18.031995710072387</v>
      </c>
      <c r="DD102" s="73">
        <f t="shared" si="203"/>
        <v>5154.1859732068015</v>
      </c>
      <c r="DE102" s="42"/>
      <c r="DF102" s="73">
        <v>1888</v>
      </c>
      <c r="DG102" s="73">
        <f t="shared" si="171"/>
        <v>208</v>
      </c>
      <c r="DH102" s="73">
        <f t="shared" si="172"/>
        <v>5.777777777777778</v>
      </c>
      <c r="DI102" s="73">
        <f t="shared" si="173"/>
        <v>31.04</v>
      </c>
      <c r="DJ102" s="92">
        <v>8</v>
      </c>
      <c r="DK102" s="92">
        <v>6</v>
      </c>
      <c r="DL102" s="92">
        <v>1</v>
      </c>
      <c r="DM102" s="93">
        <f t="shared" si="174"/>
        <v>18.031995710072387</v>
      </c>
      <c r="DN102" s="73">
        <f t="shared" si="204"/>
        <v>5229.98282575396</v>
      </c>
      <c r="DO102" s="42"/>
      <c r="DP102" s="92">
        <v>445</v>
      </c>
      <c r="DQ102" s="73">
        <f t="shared" si="176"/>
        <v>208</v>
      </c>
      <c r="DR102" s="92">
        <f t="shared" si="177"/>
        <v>22.005208333333332</v>
      </c>
      <c r="DS102" s="73">
        <f t="shared" si="178"/>
        <v>31.04</v>
      </c>
      <c r="DT102" s="92">
        <v>8</v>
      </c>
      <c r="DU102" s="92">
        <v>6</v>
      </c>
      <c r="DV102" s="92">
        <v>1</v>
      </c>
      <c r="DW102" s="93">
        <f t="shared" si="179"/>
        <v>58.251167963811994</v>
      </c>
      <c r="DX102" s="92">
        <f t="shared" si="180"/>
        <v>7574.479101736888</v>
      </c>
      <c r="DY102" s="42"/>
      <c r="DZ102" s="73">
        <v>587</v>
      </c>
      <c r="EA102" s="92">
        <f t="shared" si="181"/>
        <v>208</v>
      </c>
      <c r="EB102" s="92">
        <f t="shared" si="182"/>
        <v>5.777777777777778</v>
      </c>
      <c r="EC102" s="92">
        <f t="shared" si="183"/>
        <v>31.04</v>
      </c>
      <c r="ED102" s="92">
        <v>8</v>
      </c>
      <c r="EE102" s="92">
        <v>6</v>
      </c>
      <c r="EF102" s="92">
        <v>1</v>
      </c>
      <c r="EG102" s="93">
        <f t="shared" si="184"/>
        <v>18.031995710072387</v>
      </c>
      <c r="EH102" s="92">
        <f t="shared" si="185"/>
        <v>5834.505001823683</v>
      </c>
      <c r="EI102" s="42"/>
      <c r="EJ102" s="92">
        <v>450</v>
      </c>
      <c r="EK102" s="73">
        <f t="shared" si="193"/>
        <v>8.666666666666666</v>
      </c>
      <c r="EL102" s="73">
        <f t="shared" si="194"/>
        <v>5.777777777777778</v>
      </c>
      <c r="EM102" s="73">
        <f t="shared" si="195"/>
        <v>12.416</v>
      </c>
      <c r="EN102" s="92">
        <v>8</v>
      </c>
      <c r="EO102" s="92">
        <v>6</v>
      </c>
      <c r="EP102" s="92">
        <v>1</v>
      </c>
      <c r="EQ102" s="93">
        <f t="shared" si="186"/>
        <v>9.793937040363097</v>
      </c>
      <c r="ER102" s="73">
        <f t="shared" si="211"/>
        <v>4939.894649186143</v>
      </c>
      <c r="ES102" s="42"/>
      <c r="ET102" s="142">
        <v>0</v>
      </c>
      <c r="EU102" s="142">
        <v>0</v>
      </c>
      <c r="EV102" s="142">
        <v>6</v>
      </c>
      <c r="EW102" s="142">
        <v>39.8</v>
      </c>
      <c r="EX102" s="142">
        <v>0</v>
      </c>
      <c r="EY102" s="142">
        <v>0</v>
      </c>
      <c r="EZ102" s="142">
        <v>0</v>
      </c>
      <c r="FA102" s="142">
        <v>4.8</v>
      </c>
      <c r="FB102" s="142">
        <v>49.4</v>
      </c>
      <c r="FC102" s="92">
        <f t="shared" si="188"/>
        <v>5340.201296453052</v>
      </c>
      <c r="FE102" s="142">
        <v>611</v>
      </c>
      <c r="FF102" s="167">
        <f t="shared" si="196"/>
        <v>208</v>
      </c>
      <c r="FG102" s="167">
        <f t="shared" si="197"/>
        <v>5.777777777777778</v>
      </c>
      <c r="FH102" s="167">
        <f t="shared" si="199"/>
        <v>31.04</v>
      </c>
      <c r="FI102" s="167">
        <v>8</v>
      </c>
      <c r="FJ102" s="167">
        <v>6</v>
      </c>
      <c r="FK102" s="142">
        <v>1</v>
      </c>
      <c r="FL102" s="142">
        <f t="shared" si="198"/>
        <v>18.031995710072387</v>
      </c>
      <c r="FM102" s="142">
        <f t="shared" si="207"/>
        <v>4958.798820269906</v>
      </c>
    </row>
    <row r="103" spans="1:169" s="4" customFormat="1" ht="17.25">
      <c r="A103" s="105">
        <v>96</v>
      </c>
      <c r="B103" s="94" t="s">
        <v>59</v>
      </c>
      <c r="C103" s="75">
        <v>1</v>
      </c>
      <c r="D103" s="94">
        <v>2</v>
      </c>
      <c r="E103" s="75">
        <v>600</v>
      </c>
      <c r="F103" s="75">
        <v>1800</v>
      </c>
      <c r="G103" s="75">
        <v>1500</v>
      </c>
      <c r="H103" s="94">
        <v>256</v>
      </c>
      <c r="I103" s="72">
        <f t="shared" si="212"/>
        <v>56</v>
      </c>
      <c r="J103" s="94">
        <v>56</v>
      </c>
      <c r="K103" s="94">
        <v>16</v>
      </c>
      <c r="L103" s="100" t="s">
        <v>30</v>
      </c>
      <c r="M103" s="94">
        <v>112</v>
      </c>
      <c r="N103" s="100" t="s">
        <v>30</v>
      </c>
      <c r="O103" s="94" t="s">
        <v>21</v>
      </c>
      <c r="P103" s="77">
        <f t="shared" si="135"/>
        <v>245.29898356812984</v>
      </c>
      <c r="Q103" s="78">
        <f t="shared" si="200"/>
        <v>4475.6121432250875</v>
      </c>
      <c r="R103" s="78">
        <f t="shared" si="191"/>
        <v>4037.873270211216</v>
      </c>
      <c r="S103" s="89">
        <v>512</v>
      </c>
      <c r="T103" s="102">
        <v>35</v>
      </c>
      <c r="U103" s="102">
        <v>115</v>
      </c>
      <c r="V103" s="94" t="s">
        <v>37</v>
      </c>
      <c r="W103" s="94" t="s">
        <v>42</v>
      </c>
      <c r="X103" s="14" t="s">
        <v>41</v>
      </c>
      <c r="Y103" s="94" t="s">
        <v>23</v>
      </c>
      <c r="Z103" s="95">
        <v>9</v>
      </c>
      <c r="AA103" s="124" t="s">
        <v>559</v>
      </c>
      <c r="AB103" s="94">
        <v>10</v>
      </c>
      <c r="AC103" s="96">
        <v>3</v>
      </c>
      <c r="AD103" s="97">
        <v>334</v>
      </c>
      <c r="AE103" s="98">
        <f>754*C103</f>
        <v>754</v>
      </c>
      <c r="AF103" s="99">
        <v>65</v>
      </c>
      <c r="AG103" s="94"/>
      <c r="AH103" s="91"/>
      <c r="AI103" s="87">
        <f t="shared" si="136"/>
        <v>33.6</v>
      </c>
      <c r="AJ103" s="91">
        <f t="shared" si="137"/>
        <v>33.6</v>
      </c>
      <c r="AK103" s="91">
        <f t="shared" si="138"/>
        <v>9.6</v>
      </c>
      <c r="AL103" s="87">
        <f t="shared" si="139"/>
        <v>56</v>
      </c>
      <c r="AM103" s="92">
        <f t="shared" si="189"/>
        <v>57.6</v>
      </c>
      <c r="AN103" s="92">
        <f t="shared" si="210"/>
        <v>1</v>
      </c>
      <c r="AO103" s="87">
        <v>2</v>
      </c>
      <c r="AP103" s="87">
        <v>1</v>
      </c>
      <c r="AQ103" s="87">
        <v>1</v>
      </c>
      <c r="AR103" s="87">
        <v>5</v>
      </c>
      <c r="AS103" s="87">
        <v>5</v>
      </c>
      <c r="AT103" s="87">
        <v>1</v>
      </c>
      <c r="AU103" s="87">
        <v>1.3</v>
      </c>
      <c r="AV103" s="87">
        <v>1</v>
      </c>
      <c r="AW103" s="87">
        <f t="shared" si="141"/>
        <v>33.599999999999994</v>
      </c>
      <c r="AX103" s="87">
        <f t="shared" si="142"/>
        <v>23.717647058823527</v>
      </c>
      <c r="AY103" s="91">
        <f t="shared" si="143"/>
        <v>45.64528301886792</v>
      </c>
      <c r="AZ103" s="91">
        <f t="shared" si="144"/>
        <v>51.71152416356877</v>
      </c>
      <c r="BA103" s="91"/>
      <c r="BB103" s="73">
        <v>0.02</v>
      </c>
      <c r="BC103" s="73">
        <f t="shared" si="146"/>
        <v>50.67729368029739</v>
      </c>
      <c r="BD103" s="73">
        <v>4.840412061378459</v>
      </c>
      <c r="BE103" s="87">
        <v>5.7504095289176105</v>
      </c>
      <c r="BF103" s="42"/>
      <c r="BG103" s="42"/>
      <c r="BH103" s="92">
        <v>548</v>
      </c>
      <c r="BI103" s="92">
        <f t="shared" si="147"/>
        <v>192</v>
      </c>
      <c r="BJ103" s="92">
        <f t="shared" si="148"/>
        <v>4.666666666666667</v>
      </c>
      <c r="BK103" s="87">
        <f t="shared" si="149"/>
        <v>28.8</v>
      </c>
      <c r="BL103" s="87">
        <v>8</v>
      </c>
      <c r="BM103" s="87">
        <v>6</v>
      </c>
      <c r="BN103" s="87">
        <v>1</v>
      </c>
      <c r="BO103" s="93">
        <f t="shared" si="150"/>
        <v>14.683175528040787</v>
      </c>
      <c r="BP103" s="92">
        <f t="shared" si="151"/>
        <v>3458.7501480001633</v>
      </c>
      <c r="BQ103" s="42"/>
      <c r="BR103" s="92">
        <v>375</v>
      </c>
      <c r="BS103" s="92">
        <f t="shared" si="152"/>
        <v>192</v>
      </c>
      <c r="BT103" s="92">
        <f t="shared" si="153"/>
        <v>4.666666666666667</v>
      </c>
      <c r="BU103" s="92">
        <f t="shared" si="154"/>
        <v>28.8</v>
      </c>
      <c r="BV103" s="92">
        <v>8</v>
      </c>
      <c r="BW103" s="92">
        <v>6</v>
      </c>
      <c r="BX103" s="92">
        <v>1</v>
      </c>
      <c r="BY103" s="93">
        <f t="shared" si="155"/>
        <v>14.683175528040787</v>
      </c>
      <c r="BZ103" s="73">
        <f t="shared" si="156"/>
        <v>4145.241033221273</v>
      </c>
      <c r="CA103" s="42"/>
      <c r="CB103" s="92">
        <v>783</v>
      </c>
      <c r="CC103" s="92">
        <f t="shared" si="157"/>
        <v>192</v>
      </c>
      <c r="CD103" s="92">
        <f t="shared" si="158"/>
        <v>4.666666666666667</v>
      </c>
      <c r="CE103" s="92">
        <f t="shared" si="159"/>
        <v>28.8</v>
      </c>
      <c r="CF103" s="92">
        <v>8</v>
      </c>
      <c r="CG103" s="92">
        <v>6</v>
      </c>
      <c r="CH103" s="92">
        <v>4</v>
      </c>
      <c r="CI103" s="93">
        <f t="shared" si="160"/>
        <v>13.640054127198919</v>
      </c>
      <c r="CJ103" s="73">
        <f t="shared" si="161"/>
        <v>4663.136765738763</v>
      </c>
      <c r="CK103" s="42"/>
      <c r="CL103" s="92">
        <v>353</v>
      </c>
      <c r="CM103" s="92">
        <f t="shared" si="162"/>
        <v>192</v>
      </c>
      <c r="CN103" s="92">
        <f t="shared" si="163"/>
        <v>4.666666666666667</v>
      </c>
      <c r="CO103" s="92">
        <f t="shared" si="164"/>
        <v>28.8</v>
      </c>
      <c r="CP103" s="92">
        <v>8</v>
      </c>
      <c r="CQ103" s="92">
        <v>6</v>
      </c>
      <c r="CR103" s="92">
        <v>1</v>
      </c>
      <c r="CS103" s="93">
        <f t="shared" si="165"/>
        <v>14.683175528040787</v>
      </c>
      <c r="CT103" s="73">
        <f t="shared" si="202"/>
        <v>4944.339176806051</v>
      </c>
      <c r="CU103" s="42"/>
      <c r="CV103" s="92">
        <v>472</v>
      </c>
      <c r="CW103" s="92">
        <f t="shared" si="167"/>
        <v>192</v>
      </c>
      <c r="CX103" s="92">
        <f t="shared" si="168"/>
        <v>4.666666666666667</v>
      </c>
      <c r="CY103" s="92">
        <f t="shared" si="192"/>
        <v>28.8</v>
      </c>
      <c r="CZ103" s="92">
        <v>8</v>
      </c>
      <c r="DA103" s="92">
        <v>6</v>
      </c>
      <c r="DB103" s="92">
        <v>1</v>
      </c>
      <c r="DC103" s="93">
        <f t="shared" si="169"/>
        <v>14.683175528040787</v>
      </c>
      <c r="DD103" s="73">
        <f t="shared" si="203"/>
        <v>4249.029126687582</v>
      </c>
      <c r="DE103" s="42"/>
      <c r="DF103" s="73">
        <v>1888</v>
      </c>
      <c r="DG103" s="73">
        <f t="shared" si="171"/>
        <v>192</v>
      </c>
      <c r="DH103" s="73">
        <f t="shared" si="172"/>
        <v>4.666666666666667</v>
      </c>
      <c r="DI103" s="73">
        <f t="shared" si="173"/>
        <v>28.8</v>
      </c>
      <c r="DJ103" s="92">
        <v>8</v>
      </c>
      <c r="DK103" s="92">
        <v>6</v>
      </c>
      <c r="DL103" s="92">
        <v>1</v>
      </c>
      <c r="DM103" s="93">
        <f t="shared" si="174"/>
        <v>14.683175528040787</v>
      </c>
      <c r="DN103" s="73">
        <f t="shared" si="204"/>
        <v>4311.51484913887</v>
      </c>
      <c r="DO103" s="42"/>
      <c r="DP103" s="92">
        <v>445</v>
      </c>
      <c r="DQ103" s="73">
        <f t="shared" si="176"/>
        <v>192</v>
      </c>
      <c r="DR103" s="92">
        <f t="shared" si="177"/>
        <v>18.75</v>
      </c>
      <c r="DS103" s="73">
        <f t="shared" si="178"/>
        <v>28.8</v>
      </c>
      <c r="DT103" s="92">
        <v>8</v>
      </c>
      <c r="DU103" s="92">
        <v>6</v>
      </c>
      <c r="DV103" s="92">
        <v>1</v>
      </c>
      <c r="DW103" s="93">
        <f t="shared" si="179"/>
        <v>50.45550105115627</v>
      </c>
      <c r="DX103" s="92">
        <f t="shared" si="180"/>
        <v>6636.6413184958565</v>
      </c>
      <c r="DY103" s="42"/>
      <c r="DZ103" s="73">
        <v>587</v>
      </c>
      <c r="EA103" s="92">
        <f t="shared" si="181"/>
        <v>192</v>
      </c>
      <c r="EB103" s="92">
        <f t="shared" si="182"/>
        <v>4.666666666666667</v>
      </c>
      <c r="EC103" s="92">
        <f t="shared" si="183"/>
        <v>28.8</v>
      </c>
      <c r="ED103" s="92">
        <v>8</v>
      </c>
      <c r="EE103" s="92">
        <v>6</v>
      </c>
      <c r="EF103" s="92">
        <v>1</v>
      </c>
      <c r="EG103" s="93">
        <f t="shared" si="184"/>
        <v>14.683175528040787</v>
      </c>
      <c r="EH103" s="92">
        <f t="shared" si="185"/>
        <v>4702.394073770265</v>
      </c>
      <c r="EI103" s="42"/>
      <c r="EJ103" s="92">
        <v>450</v>
      </c>
      <c r="EK103" s="73">
        <f t="shared" si="193"/>
        <v>8</v>
      </c>
      <c r="EL103" s="73">
        <f t="shared" si="194"/>
        <v>4.666666666666667</v>
      </c>
      <c r="EM103" s="73">
        <f t="shared" si="195"/>
        <v>11.52</v>
      </c>
      <c r="EN103" s="92">
        <v>8</v>
      </c>
      <c r="EO103" s="92">
        <v>6</v>
      </c>
      <c r="EP103" s="92">
        <v>1</v>
      </c>
      <c r="EQ103" s="93">
        <f t="shared" si="186"/>
        <v>8.429855739075895</v>
      </c>
      <c r="ER103" s="73">
        <f t="shared" si="211"/>
        <v>4220.108952322035</v>
      </c>
      <c r="ES103" s="42"/>
      <c r="ET103" s="142">
        <v>0</v>
      </c>
      <c r="EU103" s="142">
        <v>0</v>
      </c>
      <c r="EV103" s="142">
        <v>6</v>
      </c>
      <c r="EW103" s="142">
        <v>39.8</v>
      </c>
      <c r="EX103" s="142">
        <v>0</v>
      </c>
      <c r="EY103" s="142">
        <v>0</v>
      </c>
      <c r="EZ103" s="142">
        <v>0</v>
      </c>
      <c r="FA103" s="142">
        <v>4.8</v>
      </c>
      <c r="FB103" s="142">
        <v>49.4</v>
      </c>
      <c r="FC103" s="92">
        <f t="shared" si="188"/>
        <v>4475.6121432250875</v>
      </c>
      <c r="FE103" s="142">
        <v>611</v>
      </c>
      <c r="FF103" s="167">
        <f t="shared" si="196"/>
        <v>192</v>
      </c>
      <c r="FG103" s="167">
        <f t="shared" si="197"/>
        <v>4.666666666666667</v>
      </c>
      <c r="FH103" s="167">
        <f t="shared" si="199"/>
        <v>28.8</v>
      </c>
      <c r="FI103" s="167">
        <v>8</v>
      </c>
      <c r="FJ103" s="167">
        <v>6</v>
      </c>
      <c r="FK103" s="142">
        <v>1</v>
      </c>
      <c r="FL103" s="142">
        <f t="shared" si="198"/>
        <v>14.683175528040787</v>
      </c>
      <c r="FM103" s="142">
        <f t="shared" si="207"/>
        <v>4037.873270211216</v>
      </c>
    </row>
    <row r="104" spans="1:169" s="4" customFormat="1" ht="17.25">
      <c r="A104" s="105">
        <v>97</v>
      </c>
      <c r="B104" s="94" t="s">
        <v>70</v>
      </c>
      <c r="C104" s="75">
        <v>1</v>
      </c>
      <c r="D104" s="94">
        <v>2</v>
      </c>
      <c r="E104" s="75">
        <v>575</v>
      </c>
      <c r="F104" s="75">
        <v>1750</v>
      </c>
      <c r="G104" s="75">
        <v>1438</v>
      </c>
      <c r="H104" s="94">
        <v>192</v>
      </c>
      <c r="I104" s="72">
        <f t="shared" si="212"/>
        <v>48</v>
      </c>
      <c r="J104" s="94">
        <v>48</v>
      </c>
      <c r="K104" s="94">
        <v>12</v>
      </c>
      <c r="L104" s="100" t="s">
        <v>30</v>
      </c>
      <c r="M104" s="94">
        <v>96</v>
      </c>
      <c r="N104" s="100" t="s">
        <v>30</v>
      </c>
      <c r="O104" s="94" t="s">
        <v>21</v>
      </c>
      <c r="P104" s="77">
        <f t="shared" si="135"/>
        <v>187.7200572419376</v>
      </c>
      <c r="Q104" s="78">
        <f t="shared" si="200"/>
        <v>3517.5485853107352</v>
      </c>
      <c r="R104" s="78">
        <f t="shared" si="191"/>
        <v>3292.894159753398</v>
      </c>
      <c r="S104" s="89">
        <v>384</v>
      </c>
      <c r="T104" s="102">
        <v>27</v>
      </c>
      <c r="U104" s="102">
        <v>80</v>
      </c>
      <c r="V104" s="94" t="s">
        <v>37</v>
      </c>
      <c r="W104" s="94" t="s">
        <v>42</v>
      </c>
      <c r="X104" s="14" t="s">
        <v>41</v>
      </c>
      <c r="Y104" s="94" t="s">
        <v>23</v>
      </c>
      <c r="Z104" s="95">
        <v>9</v>
      </c>
      <c r="AA104" s="124" t="s">
        <v>559</v>
      </c>
      <c r="AB104" s="94">
        <v>10</v>
      </c>
      <c r="AC104" s="96">
        <v>3</v>
      </c>
      <c r="AD104" s="97">
        <v>334</v>
      </c>
      <c r="AE104" s="98">
        <f>754*C104</f>
        <v>754</v>
      </c>
      <c r="AF104" s="99">
        <v>65</v>
      </c>
      <c r="AG104" s="94"/>
      <c r="AH104" s="91"/>
      <c r="AI104" s="87">
        <f t="shared" si="136"/>
        <v>27.6</v>
      </c>
      <c r="AJ104" s="91">
        <f t="shared" si="137"/>
        <v>27.6</v>
      </c>
      <c r="AK104" s="91">
        <f t="shared" si="138"/>
        <v>6.9</v>
      </c>
      <c r="AL104" s="87">
        <f t="shared" si="139"/>
        <v>46.016</v>
      </c>
      <c r="AM104" s="92">
        <f t="shared" si="189"/>
        <v>42</v>
      </c>
      <c r="AN104" s="92">
        <f t="shared" si="210"/>
        <v>1</v>
      </c>
      <c r="AO104" s="87">
        <v>2</v>
      </c>
      <c r="AP104" s="87">
        <v>1</v>
      </c>
      <c r="AQ104" s="87">
        <v>1</v>
      </c>
      <c r="AR104" s="87">
        <v>5</v>
      </c>
      <c r="AS104" s="87">
        <v>5</v>
      </c>
      <c r="AT104" s="87">
        <v>1</v>
      </c>
      <c r="AU104" s="87">
        <v>1.3</v>
      </c>
      <c r="AV104" s="87">
        <v>1</v>
      </c>
      <c r="AW104" s="87">
        <f t="shared" si="141"/>
        <v>27.599999999999998</v>
      </c>
      <c r="AX104" s="87">
        <f t="shared" si="142"/>
        <v>18.400000000000002</v>
      </c>
      <c r="AY104" s="91">
        <f t="shared" si="143"/>
        <v>36.80853234407604</v>
      </c>
      <c r="AZ104" s="91">
        <f t="shared" si="144"/>
        <v>39.573300039202344</v>
      </c>
      <c r="BA104" s="91"/>
      <c r="BB104" s="73">
        <v>0.02</v>
      </c>
      <c r="BC104" s="73">
        <f t="shared" si="146"/>
        <v>38.781834038418296</v>
      </c>
      <c r="BD104" s="73">
        <v>4.840412061378459</v>
      </c>
      <c r="BE104" s="87">
        <v>5.7504095289176105</v>
      </c>
      <c r="BF104" s="42"/>
      <c r="BG104" s="42"/>
      <c r="BH104" s="92">
        <v>548</v>
      </c>
      <c r="BI104" s="92">
        <f t="shared" si="147"/>
        <v>138</v>
      </c>
      <c r="BJ104" s="92">
        <f t="shared" si="148"/>
        <v>3.8346666666666667</v>
      </c>
      <c r="BK104" s="87">
        <f t="shared" si="149"/>
        <v>21</v>
      </c>
      <c r="BL104" s="87">
        <v>8</v>
      </c>
      <c r="BM104" s="87">
        <v>6</v>
      </c>
      <c r="BN104" s="87">
        <v>1</v>
      </c>
      <c r="BO104" s="93">
        <f t="shared" si="150"/>
        <v>11.974160580921447</v>
      </c>
      <c r="BP104" s="92">
        <f t="shared" si="151"/>
        <v>2774.969954267655</v>
      </c>
      <c r="BQ104" s="42"/>
      <c r="BR104" s="92">
        <v>375</v>
      </c>
      <c r="BS104" s="92">
        <f t="shared" si="152"/>
        <v>138</v>
      </c>
      <c r="BT104" s="92">
        <f t="shared" si="153"/>
        <v>3.8346666666666667</v>
      </c>
      <c r="BU104" s="92">
        <f t="shared" si="154"/>
        <v>21</v>
      </c>
      <c r="BV104" s="92">
        <v>8</v>
      </c>
      <c r="BW104" s="92">
        <v>6</v>
      </c>
      <c r="BX104" s="92">
        <v>1</v>
      </c>
      <c r="BY104" s="93">
        <f t="shared" si="155"/>
        <v>11.974160580921447</v>
      </c>
      <c r="BZ104" s="73">
        <f t="shared" si="156"/>
        <v>3387.354308702</v>
      </c>
      <c r="CA104" s="42"/>
      <c r="CB104" s="92">
        <v>783</v>
      </c>
      <c r="CC104" s="92">
        <f t="shared" si="157"/>
        <v>138</v>
      </c>
      <c r="CD104" s="92">
        <f t="shared" si="158"/>
        <v>3.8346666666666667</v>
      </c>
      <c r="CE104" s="92">
        <f t="shared" si="159"/>
        <v>21</v>
      </c>
      <c r="CF104" s="92">
        <v>8</v>
      </c>
      <c r="CG104" s="92">
        <v>6</v>
      </c>
      <c r="CH104" s="92">
        <v>4</v>
      </c>
      <c r="CI104" s="93">
        <f t="shared" si="160"/>
        <v>11.030707292088525</v>
      </c>
      <c r="CJ104" s="73">
        <f t="shared" si="161"/>
        <v>3731.2537346143095</v>
      </c>
      <c r="CK104" s="42"/>
      <c r="CL104" s="92">
        <v>353</v>
      </c>
      <c r="CM104" s="92">
        <f t="shared" si="162"/>
        <v>138</v>
      </c>
      <c r="CN104" s="92">
        <f t="shared" si="163"/>
        <v>3.8346666666666667</v>
      </c>
      <c r="CO104" s="92">
        <f t="shared" si="164"/>
        <v>21</v>
      </c>
      <c r="CP104" s="92">
        <v>8</v>
      </c>
      <c r="CQ104" s="92">
        <v>6</v>
      </c>
      <c r="CR104" s="92">
        <v>1</v>
      </c>
      <c r="CS104" s="93">
        <f t="shared" si="165"/>
        <v>11.974160580921447</v>
      </c>
      <c r="CT104" s="73">
        <f t="shared" si="202"/>
        <v>4056.865319138527</v>
      </c>
      <c r="CU104" s="42"/>
      <c r="CV104" s="92">
        <v>472</v>
      </c>
      <c r="CW104" s="92">
        <f t="shared" si="167"/>
        <v>138</v>
      </c>
      <c r="CX104" s="92">
        <f t="shared" si="168"/>
        <v>3.8346666666666667</v>
      </c>
      <c r="CY104" s="92">
        <f t="shared" si="192"/>
        <v>21</v>
      </c>
      <c r="CZ104" s="92">
        <v>8</v>
      </c>
      <c r="DA104" s="92">
        <v>6</v>
      </c>
      <c r="DB104" s="92">
        <v>1</v>
      </c>
      <c r="DC104" s="93">
        <f t="shared" si="169"/>
        <v>11.974160580921447</v>
      </c>
      <c r="DD104" s="73">
        <f t="shared" si="203"/>
        <v>3507.7553070779495</v>
      </c>
      <c r="DE104" s="42"/>
      <c r="DF104" s="73">
        <v>1888</v>
      </c>
      <c r="DG104" s="73">
        <f t="shared" si="171"/>
        <v>138</v>
      </c>
      <c r="DH104" s="73">
        <f t="shared" si="172"/>
        <v>3.8346666666666667</v>
      </c>
      <c r="DI104" s="73">
        <f t="shared" si="173"/>
        <v>21</v>
      </c>
      <c r="DJ104" s="92">
        <v>8</v>
      </c>
      <c r="DK104" s="92">
        <v>6</v>
      </c>
      <c r="DL104" s="92">
        <v>1</v>
      </c>
      <c r="DM104" s="93">
        <f t="shared" si="174"/>
        <v>11.974160580921447</v>
      </c>
      <c r="DN104" s="73">
        <f t="shared" si="204"/>
        <v>3559.339943946743</v>
      </c>
      <c r="DO104" s="42"/>
      <c r="DP104" s="92">
        <v>445</v>
      </c>
      <c r="DQ104" s="73">
        <f t="shared" si="176"/>
        <v>138</v>
      </c>
      <c r="DR104" s="92">
        <f t="shared" si="177"/>
        <v>17.232033333333334</v>
      </c>
      <c r="DS104" s="73">
        <f t="shared" si="178"/>
        <v>21</v>
      </c>
      <c r="DT104" s="92">
        <v>8</v>
      </c>
      <c r="DU104" s="92">
        <v>6</v>
      </c>
      <c r="DV104" s="92">
        <v>1</v>
      </c>
      <c r="DW104" s="93">
        <f t="shared" si="179"/>
        <v>44.07433718884684</v>
      </c>
      <c r="DX104" s="92">
        <f t="shared" si="180"/>
        <v>5860.348346570061</v>
      </c>
      <c r="DY104" s="42"/>
      <c r="DZ104" s="73">
        <v>587</v>
      </c>
      <c r="EA104" s="92">
        <f t="shared" si="181"/>
        <v>138</v>
      </c>
      <c r="EB104" s="92">
        <f t="shared" si="182"/>
        <v>3.8346666666666667</v>
      </c>
      <c r="EC104" s="92">
        <f t="shared" si="183"/>
        <v>21</v>
      </c>
      <c r="ED104" s="92">
        <v>8</v>
      </c>
      <c r="EE104" s="92">
        <v>6</v>
      </c>
      <c r="EF104" s="92">
        <v>1</v>
      </c>
      <c r="EG104" s="93">
        <f t="shared" si="184"/>
        <v>11.974160580921447</v>
      </c>
      <c r="EH104" s="92">
        <f t="shared" si="185"/>
        <v>3795.905248518705</v>
      </c>
      <c r="EI104" s="42"/>
      <c r="EJ104" s="92">
        <v>450</v>
      </c>
      <c r="EK104" s="73">
        <f t="shared" si="193"/>
        <v>5.75</v>
      </c>
      <c r="EL104" s="73">
        <f t="shared" si="194"/>
        <v>3.8346666666666667</v>
      </c>
      <c r="EM104" s="73">
        <f t="shared" si="195"/>
        <v>8.4</v>
      </c>
      <c r="EN104" s="92">
        <v>8</v>
      </c>
      <c r="EO104" s="92">
        <v>6</v>
      </c>
      <c r="EP104" s="92">
        <v>1</v>
      </c>
      <c r="EQ104" s="93">
        <f t="shared" si="186"/>
        <v>6.504011900152217</v>
      </c>
      <c r="ER104" s="73">
        <f t="shared" si="211"/>
        <v>3214.0520623137895</v>
      </c>
      <c r="ES104" s="42"/>
      <c r="ET104" s="142">
        <v>0</v>
      </c>
      <c r="EU104" s="142">
        <v>0</v>
      </c>
      <c r="EV104" s="142">
        <v>6</v>
      </c>
      <c r="EW104" s="142">
        <v>39.8</v>
      </c>
      <c r="EX104" s="142">
        <v>0</v>
      </c>
      <c r="EY104" s="142">
        <v>0</v>
      </c>
      <c r="EZ104" s="142">
        <v>0</v>
      </c>
      <c r="FA104" s="142">
        <v>4.8</v>
      </c>
      <c r="FB104" s="142">
        <v>49.4</v>
      </c>
      <c r="FC104" s="92">
        <f t="shared" si="188"/>
        <v>3517.5485853107352</v>
      </c>
      <c r="FE104" s="142">
        <v>611</v>
      </c>
      <c r="FF104" s="167">
        <f t="shared" si="196"/>
        <v>138</v>
      </c>
      <c r="FG104" s="167">
        <f t="shared" si="197"/>
        <v>3.8346666666666667</v>
      </c>
      <c r="FH104" s="167">
        <f t="shared" si="199"/>
        <v>21</v>
      </c>
      <c r="FI104" s="167">
        <v>8</v>
      </c>
      <c r="FJ104" s="167">
        <v>6</v>
      </c>
      <c r="FK104" s="142">
        <v>1</v>
      </c>
      <c r="FL104" s="142">
        <f t="shared" si="198"/>
        <v>11.974160580921447</v>
      </c>
      <c r="FM104" s="142">
        <f t="shared" si="207"/>
        <v>3292.894159753398</v>
      </c>
    </row>
    <row r="105" spans="1:169" s="4" customFormat="1" ht="17.25">
      <c r="A105" s="105">
        <v>98</v>
      </c>
      <c r="B105" s="94" t="s">
        <v>102</v>
      </c>
      <c r="C105" s="75">
        <v>1</v>
      </c>
      <c r="D105" s="94">
        <v>2</v>
      </c>
      <c r="E105" s="75">
        <v>650</v>
      </c>
      <c r="F105" s="75">
        <v>1800</v>
      </c>
      <c r="G105" s="75">
        <v>1650</v>
      </c>
      <c r="H105" s="94">
        <v>256</v>
      </c>
      <c r="I105" s="72">
        <f t="shared" si="212"/>
        <v>32</v>
      </c>
      <c r="J105" s="94">
        <v>32</v>
      </c>
      <c r="K105" s="94">
        <v>16</v>
      </c>
      <c r="L105" s="100" t="s">
        <v>30</v>
      </c>
      <c r="M105" s="94">
        <v>64</v>
      </c>
      <c r="N105" s="100" t="s">
        <v>30</v>
      </c>
      <c r="O105" s="94" t="s">
        <v>21</v>
      </c>
      <c r="P105" s="77">
        <f t="shared" si="135"/>
        <v>196.2565334688433</v>
      </c>
      <c r="Q105" s="78">
        <f t="shared" si="200"/>
        <v>3170.5181021065473</v>
      </c>
      <c r="R105" s="78">
        <f t="shared" si="191"/>
        <v>2596.007059848259</v>
      </c>
      <c r="S105" s="89">
        <v>512</v>
      </c>
      <c r="T105" s="102" t="s">
        <v>47</v>
      </c>
      <c r="U105" s="102" t="s">
        <v>47</v>
      </c>
      <c r="V105" s="94" t="s">
        <v>37</v>
      </c>
      <c r="W105" s="94" t="s">
        <v>42</v>
      </c>
      <c r="X105" s="14" t="s">
        <v>41</v>
      </c>
      <c r="Y105" s="94" t="s">
        <v>23</v>
      </c>
      <c r="Z105" s="95">
        <v>9</v>
      </c>
      <c r="AA105" s="124" t="s">
        <v>559</v>
      </c>
      <c r="AB105" s="94">
        <v>10</v>
      </c>
      <c r="AC105" s="96">
        <v>3</v>
      </c>
      <c r="AD105" s="97" t="s">
        <v>47</v>
      </c>
      <c r="AE105" s="98">
        <f>505*C105</f>
        <v>505</v>
      </c>
      <c r="AF105" s="99" t="s">
        <v>47</v>
      </c>
      <c r="AG105" s="94"/>
      <c r="AH105" s="91"/>
      <c r="AI105" s="87">
        <f t="shared" si="136"/>
        <v>20.8</v>
      </c>
      <c r="AJ105" s="91">
        <f t="shared" si="137"/>
        <v>20.8</v>
      </c>
      <c r="AK105" s="91">
        <f t="shared" si="138"/>
        <v>10.4</v>
      </c>
      <c r="AL105" s="87">
        <f t="shared" si="139"/>
        <v>35.2</v>
      </c>
      <c r="AM105" s="92">
        <f t="shared" si="189"/>
        <v>57.6</v>
      </c>
      <c r="AN105" s="92">
        <f t="shared" si="210"/>
        <v>1</v>
      </c>
      <c r="AO105" s="87">
        <v>2</v>
      </c>
      <c r="AP105" s="87">
        <v>1</v>
      </c>
      <c r="AQ105" s="87">
        <v>1</v>
      </c>
      <c r="AR105" s="87">
        <v>5</v>
      </c>
      <c r="AS105" s="87">
        <v>5</v>
      </c>
      <c r="AT105" s="87">
        <v>1</v>
      </c>
      <c r="AU105" s="87">
        <v>1.3</v>
      </c>
      <c r="AV105" s="87">
        <v>1</v>
      </c>
      <c r="AW105" s="87">
        <f t="shared" si="141"/>
        <v>20.8</v>
      </c>
      <c r="AX105" s="87">
        <f t="shared" si="142"/>
        <v>17.82857142857143</v>
      </c>
      <c r="AY105" s="91">
        <f t="shared" si="143"/>
        <v>30.28235294117647</v>
      </c>
      <c r="AZ105" s="91">
        <f t="shared" si="144"/>
        <v>41.37287617383708</v>
      </c>
      <c r="BA105" s="91"/>
      <c r="BB105" s="73">
        <v>0.02</v>
      </c>
      <c r="BC105" s="73">
        <f t="shared" si="146"/>
        <v>40.54541865036033</v>
      </c>
      <c r="BD105" s="73">
        <v>4.840412061378459</v>
      </c>
      <c r="BE105" s="87">
        <v>5.7504095289176105</v>
      </c>
      <c r="BF105" s="42"/>
      <c r="BG105" s="42"/>
      <c r="BH105" s="92">
        <v>548</v>
      </c>
      <c r="BI105" s="92">
        <f t="shared" si="147"/>
        <v>208</v>
      </c>
      <c r="BJ105" s="92">
        <f t="shared" si="148"/>
        <v>2.933333333333333</v>
      </c>
      <c r="BK105" s="87">
        <f t="shared" si="149"/>
        <v>28.8</v>
      </c>
      <c r="BL105" s="87">
        <v>8</v>
      </c>
      <c r="BM105" s="87">
        <v>6</v>
      </c>
      <c r="BN105" s="87">
        <v>1</v>
      </c>
      <c r="BO105" s="93">
        <f t="shared" si="150"/>
        <v>9.440025672175487</v>
      </c>
      <c r="BP105" s="92">
        <f t="shared" si="151"/>
        <v>2146.4690479782257</v>
      </c>
      <c r="BQ105" s="42"/>
      <c r="BR105" s="92">
        <v>375</v>
      </c>
      <c r="BS105" s="92">
        <f t="shared" si="152"/>
        <v>208</v>
      </c>
      <c r="BT105" s="92">
        <f t="shared" si="153"/>
        <v>2.933333333333333</v>
      </c>
      <c r="BU105" s="92">
        <f t="shared" si="154"/>
        <v>28.8</v>
      </c>
      <c r="BV105" s="92">
        <v>8</v>
      </c>
      <c r="BW105" s="92">
        <v>6</v>
      </c>
      <c r="BX105" s="92">
        <v>1</v>
      </c>
      <c r="BY105" s="93">
        <f t="shared" si="155"/>
        <v>9.440025672175487</v>
      </c>
      <c r="BZ105" s="73">
        <f t="shared" si="156"/>
        <v>2676.8340100713244</v>
      </c>
      <c r="CA105" s="42"/>
      <c r="CB105" s="92">
        <v>783</v>
      </c>
      <c r="CC105" s="92">
        <f t="shared" si="157"/>
        <v>208</v>
      </c>
      <c r="CD105" s="92">
        <f t="shared" si="158"/>
        <v>2.933333333333333</v>
      </c>
      <c r="CE105" s="92">
        <f t="shared" si="159"/>
        <v>28.8</v>
      </c>
      <c r="CF105" s="92">
        <v>8</v>
      </c>
      <c r="CG105" s="92">
        <v>6</v>
      </c>
      <c r="CH105" s="92">
        <v>4</v>
      </c>
      <c r="CI105" s="93">
        <f t="shared" si="160"/>
        <v>8.997640478895395</v>
      </c>
      <c r="CJ105" s="73">
        <f t="shared" si="161"/>
        <v>3012.7030177309925</v>
      </c>
      <c r="CK105" s="42"/>
      <c r="CL105" s="92">
        <v>353</v>
      </c>
      <c r="CM105" s="92">
        <f t="shared" si="162"/>
        <v>208</v>
      </c>
      <c r="CN105" s="92">
        <f t="shared" si="163"/>
        <v>2.933333333333333</v>
      </c>
      <c r="CO105" s="92">
        <f t="shared" si="164"/>
        <v>28.8</v>
      </c>
      <c r="CP105" s="92">
        <v>8</v>
      </c>
      <c r="CQ105" s="92">
        <v>6</v>
      </c>
      <c r="CR105" s="92">
        <v>1</v>
      </c>
      <c r="CS105" s="93">
        <f t="shared" si="165"/>
        <v>9.440025672175487</v>
      </c>
      <c r="CT105" s="73">
        <f t="shared" si="202"/>
        <v>3221.1937261876537</v>
      </c>
      <c r="CU105" s="42"/>
      <c r="CV105" s="92">
        <v>472</v>
      </c>
      <c r="CW105" s="92">
        <f t="shared" si="167"/>
        <v>208</v>
      </c>
      <c r="CX105" s="92">
        <f t="shared" si="168"/>
        <v>2.933333333333333</v>
      </c>
      <c r="CY105" s="92">
        <f t="shared" si="192"/>
        <v>28.8</v>
      </c>
      <c r="CZ105" s="92">
        <v>8</v>
      </c>
      <c r="DA105" s="92">
        <v>6</v>
      </c>
      <c r="DB105" s="92">
        <v>1</v>
      </c>
      <c r="DC105" s="93">
        <f t="shared" si="169"/>
        <v>9.440025672175487</v>
      </c>
      <c r="DD105" s="73">
        <f t="shared" si="203"/>
        <v>2805.1345796597884</v>
      </c>
      <c r="DE105" s="42"/>
      <c r="DF105" s="73">
        <v>1888</v>
      </c>
      <c r="DG105" s="73">
        <f t="shared" si="171"/>
        <v>208</v>
      </c>
      <c r="DH105" s="73">
        <f t="shared" si="172"/>
        <v>2.933333333333333</v>
      </c>
      <c r="DI105" s="73">
        <f t="shared" si="173"/>
        <v>28.8</v>
      </c>
      <c r="DJ105" s="92">
        <v>8</v>
      </c>
      <c r="DK105" s="92">
        <v>6</v>
      </c>
      <c r="DL105" s="92">
        <v>1</v>
      </c>
      <c r="DM105" s="93">
        <f t="shared" si="174"/>
        <v>9.440025672175487</v>
      </c>
      <c r="DN105" s="73">
        <f t="shared" si="204"/>
        <v>2846.386558772432</v>
      </c>
      <c r="DO105" s="42"/>
      <c r="DP105" s="92">
        <v>445</v>
      </c>
      <c r="DQ105" s="73">
        <f t="shared" si="176"/>
        <v>208</v>
      </c>
      <c r="DR105" s="92">
        <f t="shared" si="177"/>
        <v>22.6875</v>
      </c>
      <c r="DS105" s="73">
        <f t="shared" si="178"/>
        <v>28.8</v>
      </c>
      <c r="DT105" s="92">
        <v>8</v>
      </c>
      <c r="DU105" s="92">
        <v>6</v>
      </c>
      <c r="DV105" s="92">
        <v>1</v>
      </c>
      <c r="DW105" s="93">
        <f t="shared" si="179"/>
        <v>59.23353512637126</v>
      </c>
      <c r="DX105" s="92">
        <f t="shared" si="180"/>
        <v>7691.919766377385</v>
      </c>
      <c r="DY105" s="42"/>
      <c r="DZ105" s="73">
        <v>587</v>
      </c>
      <c r="EA105" s="92">
        <f t="shared" si="181"/>
        <v>208</v>
      </c>
      <c r="EB105" s="92">
        <f t="shared" si="182"/>
        <v>2.933333333333333</v>
      </c>
      <c r="EC105" s="92">
        <f t="shared" si="183"/>
        <v>28.8</v>
      </c>
      <c r="ED105" s="92">
        <v>8</v>
      </c>
      <c r="EE105" s="92">
        <v>6</v>
      </c>
      <c r="EF105" s="92">
        <v>1</v>
      </c>
      <c r="EG105" s="93">
        <f t="shared" si="184"/>
        <v>9.440025672175487</v>
      </c>
      <c r="EH105" s="92">
        <f t="shared" si="185"/>
        <v>2957.194334404488</v>
      </c>
      <c r="EI105" s="42"/>
      <c r="EJ105" s="92">
        <v>450</v>
      </c>
      <c r="EK105" s="73">
        <f t="shared" si="193"/>
        <v>8.666666666666666</v>
      </c>
      <c r="EL105" s="73">
        <f t="shared" si="194"/>
        <v>2.933333333333333</v>
      </c>
      <c r="EM105" s="73">
        <f t="shared" si="195"/>
        <v>11.52</v>
      </c>
      <c r="EN105" s="92">
        <v>8</v>
      </c>
      <c r="EO105" s="92">
        <v>6</v>
      </c>
      <c r="EP105" s="92">
        <v>1</v>
      </c>
      <c r="EQ105" s="93">
        <f t="shared" si="186"/>
        <v>6.5459227058515</v>
      </c>
      <c r="ER105" s="73">
        <f t="shared" si="211"/>
        <v>3235.801934253094</v>
      </c>
      <c r="ES105" s="42"/>
      <c r="ET105" s="142">
        <v>0</v>
      </c>
      <c r="EU105" s="142">
        <v>0</v>
      </c>
      <c r="EV105" s="142">
        <v>6</v>
      </c>
      <c r="EW105" s="142">
        <v>39.8</v>
      </c>
      <c r="EX105" s="142">
        <v>0</v>
      </c>
      <c r="EY105" s="142">
        <v>0</v>
      </c>
      <c r="EZ105" s="142">
        <v>0</v>
      </c>
      <c r="FA105" s="142">
        <v>4.8</v>
      </c>
      <c r="FB105" s="142">
        <v>49.4</v>
      </c>
      <c r="FC105" s="92">
        <f t="shared" si="188"/>
        <v>3170.5181021065473</v>
      </c>
      <c r="FE105" s="142">
        <v>611</v>
      </c>
      <c r="FF105" s="167">
        <f t="shared" si="196"/>
        <v>208</v>
      </c>
      <c r="FG105" s="167">
        <f t="shared" si="197"/>
        <v>2.933333333333333</v>
      </c>
      <c r="FH105" s="167">
        <f t="shared" si="199"/>
        <v>28.8</v>
      </c>
      <c r="FI105" s="167">
        <v>8</v>
      </c>
      <c r="FJ105" s="167">
        <v>6</v>
      </c>
      <c r="FK105" s="142">
        <v>1</v>
      </c>
      <c r="FL105" s="142">
        <f t="shared" si="198"/>
        <v>9.440025672175487</v>
      </c>
      <c r="FM105" s="142">
        <f t="shared" si="207"/>
        <v>2596.007059848259</v>
      </c>
    </row>
    <row r="106" spans="1:169" s="4" customFormat="1" ht="17.25">
      <c r="A106" s="105">
        <v>99</v>
      </c>
      <c r="B106" s="94" t="s">
        <v>109</v>
      </c>
      <c r="C106" s="75">
        <v>1</v>
      </c>
      <c r="D106" s="94">
        <v>2</v>
      </c>
      <c r="E106" s="75">
        <v>600</v>
      </c>
      <c r="F106" s="75">
        <v>1800</v>
      </c>
      <c r="G106" s="75">
        <v>1500</v>
      </c>
      <c r="H106" s="94">
        <v>256</v>
      </c>
      <c r="I106" s="72">
        <f t="shared" si="212"/>
        <v>32</v>
      </c>
      <c r="J106" s="94">
        <v>32</v>
      </c>
      <c r="K106" s="94">
        <v>16</v>
      </c>
      <c r="L106" s="100" t="s">
        <v>30</v>
      </c>
      <c r="M106" s="94">
        <v>64</v>
      </c>
      <c r="N106" s="100" t="s">
        <v>30</v>
      </c>
      <c r="O106" s="94" t="s">
        <v>21</v>
      </c>
      <c r="P106" s="77">
        <f t="shared" si="135"/>
        <v>185.74363569268664</v>
      </c>
      <c r="Q106" s="78">
        <f t="shared" si="200"/>
        <v>2891.674534925802</v>
      </c>
      <c r="R106" s="78">
        <f t="shared" si="191"/>
        <v>2364.179104477612</v>
      </c>
      <c r="S106" s="89">
        <v>512</v>
      </c>
      <c r="T106" s="102">
        <v>20</v>
      </c>
      <c r="U106" s="102">
        <v>75</v>
      </c>
      <c r="V106" s="94" t="s">
        <v>37</v>
      </c>
      <c r="W106" s="94" t="s">
        <v>27</v>
      </c>
      <c r="X106" s="94" t="s">
        <v>28</v>
      </c>
      <c r="Y106" s="72" t="s">
        <v>23</v>
      </c>
      <c r="Z106" s="95">
        <v>7.75</v>
      </c>
      <c r="AA106" s="124" t="s">
        <v>559</v>
      </c>
      <c r="AB106" s="94">
        <v>10</v>
      </c>
      <c r="AC106" s="96">
        <v>3</v>
      </c>
      <c r="AD106" s="97">
        <v>240</v>
      </c>
      <c r="AE106" s="98">
        <f>505*C106</f>
        <v>505</v>
      </c>
      <c r="AF106" s="99">
        <v>55</v>
      </c>
      <c r="AG106" s="16" t="s">
        <v>477</v>
      </c>
      <c r="AH106" s="91"/>
      <c r="AI106" s="87">
        <f t="shared" si="136"/>
        <v>19.2</v>
      </c>
      <c r="AJ106" s="91">
        <f t="shared" si="137"/>
        <v>19.2</v>
      </c>
      <c r="AK106" s="91">
        <f t="shared" si="138"/>
        <v>9.6</v>
      </c>
      <c r="AL106" s="87">
        <f t="shared" si="139"/>
        <v>32</v>
      </c>
      <c r="AM106" s="92">
        <f t="shared" si="189"/>
        <v>57.6</v>
      </c>
      <c r="AN106" s="92">
        <f t="shared" si="210"/>
        <v>1</v>
      </c>
      <c r="AO106" s="87">
        <v>2</v>
      </c>
      <c r="AP106" s="87">
        <v>1</v>
      </c>
      <c r="AQ106" s="87">
        <v>1</v>
      </c>
      <c r="AR106" s="87">
        <v>5</v>
      </c>
      <c r="AS106" s="87">
        <v>5</v>
      </c>
      <c r="AT106" s="87">
        <v>1</v>
      </c>
      <c r="AU106" s="87">
        <v>1.3</v>
      </c>
      <c r="AV106" s="87">
        <v>1</v>
      </c>
      <c r="AW106" s="87">
        <f t="shared" si="141"/>
        <v>19.200000000000003</v>
      </c>
      <c r="AX106" s="87">
        <f t="shared" si="142"/>
        <v>16.45714285714286</v>
      </c>
      <c r="AY106" s="91">
        <f t="shared" si="143"/>
        <v>27.648000000000003</v>
      </c>
      <c r="AZ106" s="91">
        <f t="shared" si="144"/>
        <v>39.15665024630541</v>
      </c>
      <c r="BA106" s="91"/>
      <c r="BB106" s="73">
        <v>0.02</v>
      </c>
      <c r="BC106" s="73">
        <f t="shared" si="146"/>
        <v>38.373517241379304</v>
      </c>
      <c r="BD106" s="73">
        <v>4.840412061378459</v>
      </c>
      <c r="BE106" s="87">
        <v>5.7504095289176105</v>
      </c>
      <c r="BF106" s="42"/>
      <c r="BG106" s="42"/>
      <c r="BH106" s="92">
        <v>548</v>
      </c>
      <c r="BI106" s="92">
        <f t="shared" si="147"/>
        <v>192</v>
      </c>
      <c r="BJ106" s="92">
        <f t="shared" si="148"/>
        <v>2.6666666666666665</v>
      </c>
      <c r="BK106" s="87">
        <f t="shared" si="149"/>
        <v>28.8</v>
      </c>
      <c r="BL106" s="87">
        <v>8</v>
      </c>
      <c r="BM106" s="87">
        <v>6</v>
      </c>
      <c r="BN106" s="87">
        <v>1</v>
      </c>
      <c r="BO106" s="93">
        <f t="shared" si="150"/>
        <v>8.597014925373134</v>
      </c>
      <c r="BP106" s="92">
        <f t="shared" si="151"/>
        <v>1940.2115970807954</v>
      </c>
      <c r="BQ106" s="42"/>
      <c r="BR106" s="92">
        <v>375</v>
      </c>
      <c r="BS106" s="92">
        <f t="shared" si="152"/>
        <v>192</v>
      </c>
      <c r="BT106" s="92">
        <f t="shared" si="153"/>
        <v>2.6666666666666665</v>
      </c>
      <c r="BU106" s="92">
        <f t="shared" si="154"/>
        <v>28.8</v>
      </c>
      <c r="BV106" s="92">
        <v>8</v>
      </c>
      <c r="BW106" s="92">
        <v>6</v>
      </c>
      <c r="BX106" s="92">
        <v>1</v>
      </c>
      <c r="BY106" s="93">
        <f t="shared" si="155"/>
        <v>8.597014925373134</v>
      </c>
      <c r="BZ106" s="73">
        <f t="shared" si="156"/>
        <v>2440.0695302184085</v>
      </c>
      <c r="CA106" s="42"/>
      <c r="CB106" s="92">
        <v>783</v>
      </c>
      <c r="CC106" s="92">
        <f t="shared" si="157"/>
        <v>192</v>
      </c>
      <c r="CD106" s="92">
        <f t="shared" si="158"/>
        <v>2.6666666666666665</v>
      </c>
      <c r="CE106" s="92">
        <f t="shared" si="159"/>
        <v>28.8</v>
      </c>
      <c r="CF106" s="92">
        <v>8</v>
      </c>
      <c r="CG106" s="92">
        <v>6</v>
      </c>
      <c r="CH106" s="92">
        <v>4</v>
      </c>
      <c r="CI106" s="93">
        <f t="shared" si="160"/>
        <v>8.22857142857143</v>
      </c>
      <c r="CJ106" s="73">
        <f t="shared" si="161"/>
        <v>2742.9122893072804</v>
      </c>
      <c r="CK106" s="42"/>
      <c r="CL106" s="92">
        <v>353</v>
      </c>
      <c r="CM106" s="92">
        <f t="shared" si="162"/>
        <v>192</v>
      </c>
      <c r="CN106" s="92">
        <f t="shared" si="163"/>
        <v>2.6666666666666665</v>
      </c>
      <c r="CO106" s="92">
        <f t="shared" si="164"/>
        <v>28.8</v>
      </c>
      <c r="CP106" s="92">
        <v>8</v>
      </c>
      <c r="CQ106" s="92">
        <v>6</v>
      </c>
      <c r="CR106" s="92">
        <v>1</v>
      </c>
      <c r="CS106" s="93">
        <f t="shared" si="165"/>
        <v>8.597014925373134</v>
      </c>
      <c r="CT106" s="73">
        <f t="shared" si="202"/>
        <v>2941.7794832612162</v>
      </c>
      <c r="CU106" s="42"/>
      <c r="CV106" s="92">
        <v>472</v>
      </c>
      <c r="CW106" s="92">
        <f t="shared" si="167"/>
        <v>192</v>
      </c>
      <c r="CX106" s="92">
        <f t="shared" si="168"/>
        <v>2.6666666666666665</v>
      </c>
      <c r="CY106" s="92">
        <f t="shared" si="192"/>
        <v>28.8</v>
      </c>
      <c r="CZ106" s="92">
        <v>8</v>
      </c>
      <c r="DA106" s="92">
        <v>6</v>
      </c>
      <c r="DB106" s="92">
        <v>1</v>
      </c>
      <c r="DC106" s="93">
        <f t="shared" si="169"/>
        <v>8.597014925373134</v>
      </c>
      <c r="DD106" s="73">
        <f t="shared" si="203"/>
        <v>2569.0096577290956</v>
      </c>
      <c r="DE106" s="42"/>
      <c r="DF106" s="73">
        <v>1888</v>
      </c>
      <c r="DG106" s="73">
        <f t="shared" si="171"/>
        <v>192</v>
      </c>
      <c r="DH106" s="73">
        <f t="shared" si="172"/>
        <v>2.6666666666666665</v>
      </c>
      <c r="DI106" s="73">
        <f t="shared" si="173"/>
        <v>28.8</v>
      </c>
      <c r="DJ106" s="92">
        <v>8</v>
      </c>
      <c r="DK106" s="92">
        <v>6</v>
      </c>
      <c r="DL106" s="92">
        <v>1</v>
      </c>
      <c r="DM106" s="93">
        <f t="shared" si="174"/>
        <v>8.597014925373134</v>
      </c>
      <c r="DN106" s="73">
        <f t="shared" si="204"/>
        <v>2606.7892115192294</v>
      </c>
      <c r="DO106" s="42"/>
      <c r="DP106" s="92">
        <v>445</v>
      </c>
      <c r="DQ106" s="73">
        <f t="shared" si="176"/>
        <v>192</v>
      </c>
      <c r="DR106" s="92">
        <f t="shared" si="177"/>
        <v>18.75</v>
      </c>
      <c r="DS106" s="73">
        <f t="shared" si="178"/>
        <v>28.8</v>
      </c>
      <c r="DT106" s="92">
        <v>8</v>
      </c>
      <c r="DU106" s="92">
        <v>6</v>
      </c>
      <c r="DV106" s="92">
        <v>1</v>
      </c>
      <c r="DW106" s="93">
        <f t="shared" si="179"/>
        <v>50.45550105115627</v>
      </c>
      <c r="DX106" s="92">
        <f t="shared" si="180"/>
        <v>6636.6413184958565</v>
      </c>
      <c r="DY106" s="42"/>
      <c r="DZ106" s="73">
        <v>587</v>
      </c>
      <c r="EA106" s="92">
        <f t="shared" si="181"/>
        <v>192</v>
      </c>
      <c r="EB106" s="92">
        <f t="shared" si="182"/>
        <v>2.6666666666666665</v>
      </c>
      <c r="EC106" s="92">
        <f t="shared" si="183"/>
        <v>28.8</v>
      </c>
      <c r="ED106" s="92">
        <v>8</v>
      </c>
      <c r="EE106" s="92">
        <v>6</v>
      </c>
      <c r="EF106" s="92">
        <v>1</v>
      </c>
      <c r="EG106" s="93">
        <f t="shared" si="184"/>
        <v>8.597014925373134</v>
      </c>
      <c r="EH106" s="92">
        <f t="shared" si="185"/>
        <v>2680.544961132209</v>
      </c>
      <c r="EI106" s="42"/>
      <c r="EJ106" s="92">
        <v>450</v>
      </c>
      <c r="EK106" s="73">
        <f t="shared" si="193"/>
        <v>8</v>
      </c>
      <c r="EL106" s="73">
        <f t="shared" si="194"/>
        <v>2.6666666666666665</v>
      </c>
      <c r="EM106" s="73">
        <f t="shared" si="195"/>
        <v>11.52</v>
      </c>
      <c r="EN106" s="92">
        <v>8</v>
      </c>
      <c r="EO106" s="92">
        <v>6</v>
      </c>
      <c r="EP106" s="92">
        <v>1</v>
      </c>
      <c r="EQ106" s="93">
        <f t="shared" si="186"/>
        <v>5.9937565036420395</v>
      </c>
      <c r="ER106" s="73">
        <f t="shared" si="211"/>
        <v>2949.827121454863</v>
      </c>
      <c r="ES106" s="42"/>
      <c r="ET106" s="142">
        <v>0</v>
      </c>
      <c r="EU106" s="142">
        <v>0</v>
      </c>
      <c r="EV106" s="142">
        <v>6</v>
      </c>
      <c r="EW106" s="142">
        <v>39.8</v>
      </c>
      <c r="EX106" s="142">
        <v>0</v>
      </c>
      <c r="EY106" s="142">
        <v>0</v>
      </c>
      <c r="EZ106" s="142">
        <v>0</v>
      </c>
      <c r="FA106" s="142">
        <v>4.8</v>
      </c>
      <c r="FB106" s="142">
        <v>49.4</v>
      </c>
      <c r="FC106" s="92">
        <f t="shared" si="188"/>
        <v>2891.674534925802</v>
      </c>
      <c r="FE106" s="142">
        <v>611</v>
      </c>
      <c r="FF106" s="167">
        <f t="shared" si="196"/>
        <v>192</v>
      </c>
      <c r="FG106" s="167">
        <f t="shared" si="197"/>
        <v>2.6666666666666665</v>
      </c>
      <c r="FH106" s="167">
        <f t="shared" si="199"/>
        <v>28.8</v>
      </c>
      <c r="FI106" s="167">
        <v>8</v>
      </c>
      <c r="FJ106" s="167">
        <v>6</v>
      </c>
      <c r="FK106" s="142">
        <v>1</v>
      </c>
      <c r="FL106" s="142">
        <f t="shared" si="198"/>
        <v>8.597014925373134</v>
      </c>
      <c r="FM106" s="142">
        <f t="shared" si="207"/>
        <v>2364.179104477612</v>
      </c>
    </row>
    <row r="107" spans="1:169" s="4" customFormat="1" ht="17.25">
      <c r="A107" s="105">
        <v>100</v>
      </c>
      <c r="B107" s="94" t="s">
        <v>63</v>
      </c>
      <c r="C107" s="75">
        <v>1</v>
      </c>
      <c r="D107" s="94">
        <v>2</v>
      </c>
      <c r="E107" s="75">
        <v>575</v>
      </c>
      <c r="F107" s="75">
        <v>1750</v>
      </c>
      <c r="G107" s="75">
        <v>1438</v>
      </c>
      <c r="H107" s="94">
        <v>192</v>
      </c>
      <c r="I107" s="72">
        <f t="shared" si="212"/>
        <v>48</v>
      </c>
      <c r="J107" s="94">
        <v>48</v>
      </c>
      <c r="K107" s="94">
        <v>12</v>
      </c>
      <c r="L107" s="100" t="s">
        <v>30</v>
      </c>
      <c r="M107" s="94">
        <v>96</v>
      </c>
      <c r="N107" s="100" t="s">
        <v>30</v>
      </c>
      <c r="O107" s="94" t="s">
        <v>21</v>
      </c>
      <c r="P107" s="77">
        <f aca="true" t="shared" si="213" ref="P107:P138">BC107*BD107</f>
        <v>187.7200572419376</v>
      </c>
      <c r="Q107" s="78">
        <f t="shared" si="200"/>
        <v>3517.5485853107352</v>
      </c>
      <c r="R107" s="78">
        <f t="shared" si="191"/>
        <v>3292.894159753398</v>
      </c>
      <c r="S107" s="89">
        <v>384</v>
      </c>
      <c r="T107" s="102">
        <v>27</v>
      </c>
      <c r="U107" s="102">
        <v>80</v>
      </c>
      <c r="V107" s="94" t="s">
        <v>37</v>
      </c>
      <c r="W107" s="94" t="s">
        <v>42</v>
      </c>
      <c r="X107" s="14" t="s">
        <v>41</v>
      </c>
      <c r="Y107" s="94" t="s">
        <v>23</v>
      </c>
      <c r="Z107" s="95">
        <v>9</v>
      </c>
      <c r="AA107" s="124" t="s">
        <v>559</v>
      </c>
      <c r="AB107" s="94">
        <v>10</v>
      </c>
      <c r="AC107" s="96">
        <v>3</v>
      </c>
      <c r="AD107" s="97">
        <v>334</v>
      </c>
      <c r="AE107" s="98">
        <f>754*C107</f>
        <v>754</v>
      </c>
      <c r="AF107" s="99">
        <v>65</v>
      </c>
      <c r="AG107" s="94"/>
      <c r="AH107" s="91"/>
      <c r="AI107" s="87">
        <f aca="true" t="shared" si="214" ref="AI107:AI138">I107*E107/1000</f>
        <v>27.6</v>
      </c>
      <c r="AJ107" s="91">
        <f aca="true" t="shared" si="215" ref="AJ107:AJ138">J107*E107/1000</f>
        <v>27.6</v>
      </c>
      <c r="AK107" s="91">
        <f aca="true" t="shared" si="216" ref="AK107:AK138">K107*E107/1000</f>
        <v>6.9</v>
      </c>
      <c r="AL107" s="87">
        <f t="shared" si="139"/>
        <v>46.016</v>
      </c>
      <c r="AM107" s="92">
        <f t="shared" si="189"/>
        <v>42</v>
      </c>
      <c r="AN107" s="92">
        <f t="shared" si="210"/>
        <v>1</v>
      </c>
      <c r="AO107" s="87">
        <v>2</v>
      </c>
      <c r="AP107" s="87">
        <v>1</v>
      </c>
      <c r="AQ107" s="87">
        <v>1</v>
      </c>
      <c r="AR107" s="87">
        <v>5</v>
      </c>
      <c r="AS107" s="87">
        <v>5</v>
      </c>
      <c r="AT107" s="87">
        <v>1</v>
      </c>
      <c r="AU107" s="87">
        <v>1.3</v>
      </c>
      <c r="AV107" s="87">
        <v>1</v>
      </c>
      <c r="AW107" s="87">
        <f aca="true" t="shared" si="217" ref="AW107:AW138">AI107*AJ107*(AO107+AP107)/(AI107*AO107+AJ107*AP107)</f>
        <v>27.599999999999998</v>
      </c>
      <c r="AX107" s="87">
        <f aca="true" t="shared" si="218" ref="AX107:AX138">(AQ107+AR107)*AW107*AK107/(AW107*AQ107+AK107*AR107)</f>
        <v>18.400000000000002</v>
      </c>
      <c r="AY107" s="91">
        <f aca="true" t="shared" si="219" ref="AY107:AY138">AX107*AL107*(AS107+AT107)/(AX107*AS107+AL107*AT107)</f>
        <v>36.80853234407604</v>
      </c>
      <c r="AZ107" s="91">
        <f aca="true" t="shared" si="220" ref="AZ107:AZ138">AY107*AM107*(AU107+AV107)/(AY107*AU107+AV107*AM107)*AN107</f>
        <v>39.573300039202344</v>
      </c>
      <c r="BA107" s="91"/>
      <c r="BB107" s="73">
        <v>0.02</v>
      </c>
      <c r="BC107" s="73">
        <f aca="true" t="shared" si="221" ref="BC107:BC138">AZ107*(1-BB107)+BA107*BB107</f>
        <v>38.781834038418296</v>
      </c>
      <c r="BD107" s="73">
        <v>4.840412061378459</v>
      </c>
      <c r="BE107" s="87">
        <v>5.7504095289176105</v>
      </c>
      <c r="BF107" s="42"/>
      <c r="BG107" s="42"/>
      <c r="BH107" s="92">
        <v>548</v>
      </c>
      <c r="BI107" s="92">
        <f t="shared" si="147"/>
        <v>138</v>
      </c>
      <c r="BJ107" s="92">
        <f t="shared" si="148"/>
        <v>3.8346666666666667</v>
      </c>
      <c r="BK107" s="87">
        <f t="shared" si="149"/>
        <v>21</v>
      </c>
      <c r="BL107" s="87">
        <v>8</v>
      </c>
      <c r="BM107" s="87">
        <v>6</v>
      </c>
      <c r="BN107" s="87">
        <v>1</v>
      </c>
      <c r="BO107" s="93">
        <f t="shared" si="150"/>
        <v>11.974160580921447</v>
      </c>
      <c r="BP107" s="92">
        <f t="shared" si="151"/>
        <v>2774.969954267655</v>
      </c>
      <c r="BQ107" s="42"/>
      <c r="BR107" s="92">
        <v>375</v>
      </c>
      <c r="BS107" s="92">
        <f t="shared" si="152"/>
        <v>138</v>
      </c>
      <c r="BT107" s="92">
        <f t="shared" si="153"/>
        <v>3.8346666666666667</v>
      </c>
      <c r="BU107" s="92">
        <f t="shared" si="154"/>
        <v>21</v>
      </c>
      <c r="BV107" s="92">
        <v>8</v>
      </c>
      <c r="BW107" s="92">
        <v>6</v>
      </c>
      <c r="BX107" s="92">
        <v>1</v>
      </c>
      <c r="BY107" s="93">
        <f t="shared" si="155"/>
        <v>11.974160580921447</v>
      </c>
      <c r="BZ107" s="73">
        <f t="shared" si="156"/>
        <v>3387.354308702</v>
      </c>
      <c r="CA107" s="42"/>
      <c r="CB107" s="92">
        <v>783</v>
      </c>
      <c r="CC107" s="92">
        <f t="shared" si="157"/>
        <v>138</v>
      </c>
      <c r="CD107" s="92">
        <f t="shared" si="158"/>
        <v>3.8346666666666667</v>
      </c>
      <c r="CE107" s="92">
        <f t="shared" si="159"/>
        <v>21</v>
      </c>
      <c r="CF107" s="92">
        <v>8</v>
      </c>
      <c r="CG107" s="92">
        <v>6</v>
      </c>
      <c r="CH107" s="92">
        <v>4</v>
      </c>
      <c r="CI107" s="93">
        <f t="shared" si="160"/>
        <v>11.030707292088525</v>
      </c>
      <c r="CJ107" s="73">
        <f t="shared" si="161"/>
        <v>3731.2537346143095</v>
      </c>
      <c r="CK107" s="42"/>
      <c r="CL107" s="92">
        <v>353</v>
      </c>
      <c r="CM107" s="92">
        <f t="shared" si="162"/>
        <v>138</v>
      </c>
      <c r="CN107" s="92">
        <f t="shared" si="163"/>
        <v>3.8346666666666667</v>
      </c>
      <c r="CO107" s="92">
        <f t="shared" si="164"/>
        <v>21</v>
      </c>
      <c r="CP107" s="92">
        <v>8</v>
      </c>
      <c r="CQ107" s="92">
        <v>6</v>
      </c>
      <c r="CR107" s="92">
        <v>1</v>
      </c>
      <c r="CS107" s="93">
        <f t="shared" si="165"/>
        <v>11.974160580921447</v>
      </c>
      <c r="CT107" s="73">
        <f t="shared" si="202"/>
        <v>4056.865319138527</v>
      </c>
      <c r="CU107" s="42"/>
      <c r="CV107" s="92">
        <v>472</v>
      </c>
      <c r="CW107" s="92">
        <f t="shared" si="167"/>
        <v>138</v>
      </c>
      <c r="CX107" s="92">
        <f t="shared" si="168"/>
        <v>3.8346666666666667</v>
      </c>
      <c r="CY107" s="92">
        <f t="shared" si="192"/>
        <v>21</v>
      </c>
      <c r="CZ107" s="92">
        <v>8</v>
      </c>
      <c r="DA107" s="92">
        <v>6</v>
      </c>
      <c r="DB107" s="92">
        <v>1</v>
      </c>
      <c r="DC107" s="93">
        <f t="shared" si="169"/>
        <v>11.974160580921447</v>
      </c>
      <c r="DD107" s="73">
        <f t="shared" si="203"/>
        <v>3507.7553070779495</v>
      </c>
      <c r="DE107" s="42"/>
      <c r="DF107" s="73">
        <v>1888</v>
      </c>
      <c r="DG107" s="73">
        <f t="shared" si="171"/>
        <v>138</v>
      </c>
      <c r="DH107" s="73">
        <f t="shared" si="172"/>
        <v>3.8346666666666667</v>
      </c>
      <c r="DI107" s="73">
        <f t="shared" si="173"/>
        <v>21</v>
      </c>
      <c r="DJ107" s="92">
        <v>8</v>
      </c>
      <c r="DK107" s="92">
        <v>6</v>
      </c>
      <c r="DL107" s="92">
        <v>1</v>
      </c>
      <c r="DM107" s="93">
        <f t="shared" si="174"/>
        <v>11.974160580921447</v>
      </c>
      <c r="DN107" s="73">
        <f t="shared" si="204"/>
        <v>3559.339943946743</v>
      </c>
      <c r="DO107" s="42"/>
      <c r="DP107" s="92">
        <v>445</v>
      </c>
      <c r="DQ107" s="73">
        <f t="shared" si="176"/>
        <v>138</v>
      </c>
      <c r="DR107" s="92">
        <f t="shared" si="177"/>
        <v>17.232033333333334</v>
      </c>
      <c r="DS107" s="73">
        <f t="shared" si="178"/>
        <v>21</v>
      </c>
      <c r="DT107" s="92">
        <v>8</v>
      </c>
      <c r="DU107" s="92">
        <v>6</v>
      </c>
      <c r="DV107" s="92">
        <v>1</v>
      </c>
      <c r="DW107" s="93">
        <f t="shared" si="179"/>
        <v>44.07433718884684</v>
      </c>
      <c r="DX107" s="92">
        <f t="shared" si="180"/>
        <v>5860.348346570061</v>
      </c>
      <c r="DY107" s="42"/>
      <c r="DZ107" s="73">
        <v>587</v>
      </c>
      <c r="EA107" s="92">
        <f t="shared" si="181"/>
        <v>138</v>
      </c>
      <c r="EB107" s="92">
        <f t="shared" si="182"/>
        <v>3.8346666666666667</v>
      </c>
      <c r="EC107" s="92">
        <f t="shared" si="183"/>
        <v>21</v>
      </c>
      <c r="ED107" s="92">
        <v>8</v>
      </c>
      <c r="EE107" s="92">
        <v>6</v>
      </c>
      <c r="EF107" s="92">
        <v>1</v>
      </c>
      <c r="EG107" s="93">
        <f t="shared" si="184"/>
        <v>11.974160580921447</v>
      </c>
      <c r="EH107" s="92">
        <f t="shared" si="185"/>
        <v>3795.905248518705</v>
      </c>
      <c r="EI107" s="42"/>
      <c r="EJ107" s="92">
        <v>450</v>
      </c>
      <c r="EK107" s="73">
        <f t="shared" si="193"/>
        <v>5.75</v>
      </c>
      <c r="EL107" s="73">
        <f t="shared" si="194"/>
        <v>3.8346666666666667</v>
      </c>
      <c r="EM107" s="73">
        <f t="shared" si="195"/>
        <v>8.4</v>
      </c>
      <c r="EN107" s="92">
        <v>8</v>
      </c>
      <c r="EO107" s="92">
        <v>6</v>
      </c>
      <c r="EP107" s="92">
        <v>1</v>
      </c>
      <c r="EQ107" s="93">
        <f t="shared" si="186"/>
        <v>6.504011900152217</v>
      </c>
      <c r="ER107" s="73">
        <f t="shared" si="211"/>
        <v>3214.0520623137895</v>
      </c>
      <c r="ES107" s="42"/>
      <c r="ET107" s="142">
        <v>0</v>
      </c>
      <c r="EU107" s="142">
        <v>0</v>
      </c>
      <c r="EV107" s="142">
        <v>6</v>
      </c>
      <c r="EW107" s="142">
        <v>39.8</v>
      </c>
      <c r="EX107" s="142">
        <v>0</v>
      </c>
      <c r="EY107" s="142">
        <v>0</v>
      </c>
      <c r="EZ107" s="142">
        <v>0</v>
      </c>
      <c r="FA107" s="142">
        <v>4.8</v>
      </c>
      <c r="FB107" s="142">
        <v>49.4</v>
      </c>
      <c r="FC107" s="92">
        <f t="shared" si="188"/>
        <v>3517.5485853107352</v>
      </c>
      <c r="FE107" s="142">
        <v>611</v>
      </c>
      <c r="FF107" s="167">
        <f t="shared" si="196"/>
        <v>138</v>
      </c>
      <c r="FG107" s="167">
        <f t="shared" si="197"/>
        <v>3.8346666666666667</v>
      </c>
      <c r="FH107" s="167">
        <f t="shared" si="199"/>
        <v>21</v>
      </c>
      <c r="FI107" s="167">
        <v>8</v>
      </c>
      <c r="FJ107" s="167">
        <v>6</v>
      </c>
      <c r="FK107" s="142">
        <v>1</v>
      </c>
      <c r="FL107" s="142">
        <f t="shared" si="198"/>
        <v>11.974160580921447</v>
      </c>
      <c r="FM107" s="142">
        <f t="shared" si="207"/>
        <v>3292.894159753398</v>
      </c>
    </row>
    <row r="108" spans="1:169" s="6" customFormat="1" ht="17.25">
      <c r="A108" s="105">
        <v>101</v>
      </c>
      <c r="B108" s="72" t="s">
        <v>62</v>
      </c>
      <c r="C108" s="75">
        <v>1</v>
      </c>
      <c r="D108" s="72">
        <v>2</v>
      </c>
      <c r="E108" s="75">
        <v>650</v>
      </c>
      <c r="F108" s="75">
        <v>1800</v>
      </c>
      <c r="G108" s="75">
        <v>1650</v>
      </c>
      <c r="H108" s="72">
        <v>256</v>
      </c>
      <c r="I108" s="72">
        <v>24</v>
      </c>
      <c r="J108" s="72">
        <v>24</v>
      </c>
      <c r="K108" s="72">
        <v>16</v>
      </c>
      <c r="L108" s="106" t="s">
        <v>30</v>
      </c>
      <c r="M108" s="72">
        <v>48</v>
      </c>
      <c r="N108" s="106" t="s">
        <v>30</v>
      </c>
      <c r="O108" s="72" t="s">
        <v>21</v>
      </c>
      <c r="P108" s="77">
        <f t="shared" si="213"/>
        <v>166.03904663801814</v>
      </c>
      <c r="Q108" s="78">
        <f t="shared" si="200"/>
        <v>2485.949430004527</v>
      </c>
      <c r="R108" s="78">
        <f t="shared" si="191"/>
        <v>1963.9655262108313</v>
      </c>
      <c r="S108" s="79">
        <v>512</v>
      </c>
      <c r="T108" s="90">
        <v>20</v>
      </c>
      <c r="U108" s="90">
        <v>65</v>
      </c>
      <c r="V108" s="72" t="s">
        <v>37</v>
      </c>
      <c r="W108" s="72" t="s">
        <v>42</v>
      </c>
      <c r="X108" s="16" t="s">
        <v>41</v>
      </c>
      <c r="Y108" s="72" t="s">
        <v>23</v>
      </c>
      <c r="Z108" s="81">
        <v>9</v>
      </c>
      <c r="AA108" s="124" t="s">
        <v>559</v>
      </c>
      <c r="AB108" s="72">
        <v>10</v>
      </c>
      <c r="AC108" s="82">
        <v>3</v>
      </c>
      <c r="AD108" s="97">
        <v>240</v>
      </c>
      <c r="AE108" s="98">
        <f>505*C108</f>
        <v>505</v>
      </c>
      <c r="AF108" s="85">
        <v>55</v>
      </c>
      <c r="AG108" s="72"/>
      <c r="AH108" s="87"/>
      <c r="AI108" s="87">
        <f t="shared" si="214"/>
        <v>15.6</v>
      </c>
      <c r="AJ108" s="87">
        <f t="shared" si="215"/>
        <v>15.6</v>
      </c>
      <c r="AK108" s="87">
        <f t="shared" si="216"/>
        <v>10.4</v>
      </c>
      <c r="AL108" s="87">
        <f t="shared" si="139"/>
        <v>26.4</v>
      </c>
      <c r="AM108" s="92">
        <f t="shared" si="189"/>
        <v>57.6</v>
      </c>
      <c r="AN108" s="92">
        <f t="shared" si="210"/>
        <v>1</v>
      </c>
      <c r="AO108" s="87">
        <v>2</v>
      </c>
      <c r="AP108" s="87">
        <v>1</v>
      </c>
      <c r="AQ108" s="87">
        <v>1</v>
      </c>
      <c r="AR108" s="87">
        <v>5</v>
      </c>
      <c r="AS108" s="87">
        <v>5</v>
      </c>
      <c r="AT108" s="87">
        <v>1</v>
      </c>
      <c r="AU108" s="87">
        <v>1.3</v>
      </c>
      <c r="AV108" s="87">
        <v>1</v>
      </c>
      <c r="AW108" s="87">
        <f t="shared" si="217"/>
        <v>15.6</v>
      </c>
      <c r="AX108" s="87">
        <f t="shared" si="218"/>
        <v>14.4</v>
      </c>
      <c r="AY108" s="87">
        <f t="shared" si="219"/>
        <v>23.180487804878048</v>
      </c>
      <c r="AZ108" s="87">
        <f t="shared" si="220"/>
        <v>35.00272217774219</v>
      </c>
      <c r="BA108" s="87"/>
      <c r="BB108" s="73">
        <v>0.02</v>
      </c>
      <c r="BC108" s="73">
        <f t="shared" si="221"/>
        <v>34.302667734187345</v>
      </c>
      <c r="BD108" s="73">
        <v>4.840412061378459</v>
      </c>
      <c r="BE108" s="87">
        <v>5.7504095289176105</v>
      </c>
      <c r="BF108" s="73"/>
      <c r="BG108" s="73"/>
      <c r="BH108" s="92">
        <v>548</v>
      </c>
      <c r="BI108" s="92">
        <f t="shared" si="147"/>
        <v>208</v>
      </c>
      <c r="BJ108" s="92">
        <f t="shared" si="148"/>
        <v>2.2</v>
      </c>
      <c r="BK108" s="87">
        <f t="shared" si="149"/>
        <v>28.8</v>
      </c>
      <c r="BL108" s="87">
        <v>8</v>
      </c>
      <c r="BM108" s="87">
        <v>6</v>
      </c>
      <c r="BN108" s="87">
        <v>1</v>
      </c>
      <c r="BO108" s="93">
        <f t="shared" si="150"/>
        <v>7.141692822584841</v>
      </c>
      <c r="BP108" s="92">
        <f t="shared" si="151"/>
        <v>1588.0305782844216</v>
      </c>
      <c r="BQ108" s="87"/>
      <c r="BR108" s="92">
        <v>375</v>
      </c>
      <c r="BS108" s="92">
        <f t="shared" si="152"/>
        <v>208</v>
      </c>
      <c r="BT108" s="92">
        <f t="shared" si="153"/>
        <v>2.2</v>
      </c>
      <c r="BU108" s="92">
        <f t="shared" si="154"/>
        <v>28.8</v>
      </c>
      <c r="BV108" s="92">
        <v>8</v>
      </c>
      <c r="BW108" s="92">
        <v>6</v>
      </c>
      <c r="BX108" s="92">
        <v>1</v>
      </c>
      <c r="BY108" s="93">
        <f t="shared" si="155"/>
        <v>7.141692822584841</v>
      </c>
      <c r="BZ108" s="73">
        <f t="shared" si="156"/>
        <v>2030.7719340764982</v>
      </c>
      <c r="CA108" s="87"/>
      <c r="CB108" s="92">
        <v>783</v>
      </c>
      <c r="CC108" s="92">
        <f t="shared" si="157"/>
        <v>208</v>
      </c>
      <c r="CD108" s="92">
        <f t="shared" si="158"/>
        <v>2.2</v>
      </c>
      <c r="CE108" s="92">
        <f t="shared" si="159"/>
        <v>28.8</v>
      </c>
      <c r="CF108" s="92">
        <v>8</v>
      </c>
      <c r="CG108" s="92">
        <v>6</v>
      </c>
      <c r="CH108" s="92">
        <v>4</v>
      </c>
      <c r="CI108" s="93">
        <f t="shared" si="160"/>
        <v>6.88557480104327</v>
      </c>
      <c r="CJ108" s="73">
        <f t="shared" si="161"/>
        <v>2274.8798574459142</v>
      </c>
      <c r="CK108" s="87"/>
      <c r="CL108" s="92">
        <v>353</v>
      </c>
      <c r="CM108" s="92">
        <f t="shared" si="162"/>
        <v>208</v>
      </c>
      <c r="CN108" s="92">
        <f t="shared" si="163"/>
        <v>2.2</v>
      </c>
      <c r="CO108" s="92">
        <f t="shared" si="164"/>
        <v>28.8</v>
      </c>
      <c r="CP108" s="92">
        <v>8</v>
      </c>
      <c r="CQ108" s="92">
        <v>6</v>
      </c>
      <c r="CR108" s="92">
        <v>1</v>
      </c>
      <c r="CS108" s="93">
        <f t="shared" si="165"/>
        <v>7.141692822584841</v>
      </c>
      <c r="CT108" s="73">
        <f t="shared" si="202"/>
        <v>2457.4234369488286</v>
      </c>
      <c r="CU108" s="87"/>
      <c r="CV108" s="92">
        <v>472</v>
      </c>
      <c r="CW108" s="92">
        <f t="shared" si="167"/>
        <v>208</v>
      </c>
      <c r="CX108" s="92">
        <f t="shared" si="168"/>
        <v>2.2</v>
      </c>
      <c r="CY108" s="92">
        <f t="shared" si="192"/>
        <v>28.8</v>
      </c>
      <c r="CZ108" s="92">
        <v>8</v>
      </c>
      <c r="DA108" s="92">
        <v>6</v>
      </c>
      <c r="DB108" s="92">
        <v>1</v>
      </c>
      <c r="DC108" s="93">
        <f t="shared" si="169"/>
        <v>7.141692822584841</v>
      </c>
      <c r="DD108" s="73">
        <f t="shared" si="203"/>
        <v>2158.0028480120777</v>
      </c>
      <c r="DE108" s="87"/>
      <c r="DF108" s="73">
        <v>1888</v>
      </c>
      <c r="DG108" s="73">
        <f t="shared" si="171"/>
        <v>208</v>
      </c>
      <c r="DH108" s="73">
        <f t="shared" si="172"/>
        <v>2.2</v>
      </c>
      <c r="DI108" s="73">
        <f t="shared" si="173"/>
        <v>28.8</v>
      </c>
      <c r="DJ108" s="92">
        <v>8</v>
      </c>
      <c r="DK108" s="92">
        <v>6</v>
      </c>
      <c r="DL108" s="92">
        <v>1</v>
      </c>
      <c r="DM108" s="93">
        <f t="shared" si="174"/>
        <v>7.141692822584841</v>
      </c>
      <c r="DN108" s="73">
        <f t="shared" si="204"/>
        <v>2189.7381840122557</v>
      </c>
      <c r="DO108" s="87"/>
      <c r="DP108" s="92">
        <v>445</v>
      </c>
      <c r="DQ108" s="73">
        <f t="shared" si="176"/>
        <v>208</v>
      </c>
      <c r="DR108" s="92">
        <f t="shared" si="177"/>
        <v>22.6875</v>
      </c>
      <c r="DS108" s="73">
        <f t="shared" si="178"/>
        <v>28.8</v>
      </c>
      <c r="DT108" s="92">
        <v>8</v>
      </c>
      <c r="DU108" s="92">
        <v>6</v>
      </c>
      <c r="DV108" s="92">
        <v>1</v>
      </c>
      <c r="DW108" s="93">
        <f t="shared" si="179"/>
        <v>59.23353512637126</v>
      </c>
      <c r="DX108" s="92">
        <f t="shared" si="180"/>
        <v>7691.919766377385</v>
      </c>
      <c r="DY108" s="87"/>
      <c r="DZ108" s="73">
        <v>587</v>
      </c>
      <c r="EA108" s="92">
        <f t="shared" si="181"/>
        <v>208</v>
      </c>
      <c r="EB108" s="92">
        <f t="shared" si="182"/>
        <v>2.2</v>
      </c>
      <c r="EC108" s="92">
        <f t="shared" si="183"/>
        <v>28.8</v>
      </c>
      <c r="ED108" s="92">
        <v>8</v>
      </c>
      <c r="EE108" s="92">
        <v>6</v>
      </c>
      <c r="EF108" s="92">
        <v>1</v>
      </c>
      <c r="EG108" s="93">
        <f t="shared" si="184"/>
        <v>7.141692822584841</v>
      </c>
      <c r="EH108" s="92">
        <f t="shared" si="185"/>
        <v>2206.222229329474</v>
      </c>
      <c r="EI108" s="87"/>
      <c r="EJ108" s="92">
        <v>450</v>
      </c>
      <c r="EK108" s="73">
        <f t="shared" si="193"/>
        <v>8.666666666666666</v>
      </c>
      <c r="EL108" s="73">
        <f t="shared" si="194"/>
        <v>2.2</v>
      </c>
      <c r="EM108" s="73">
        <f t="shared" si="195"/>
        <v>11.52</v>
      </c>
      <c r="EN108" s="92">
        <v>8</v>
      </c>
      <c r="EO108" s="92">
        <v>6</v>
      </c>
      <c r="EP108" s="92">
        <v>1</v>
      </c>
      <c r="EQ108" s="93">
        <f t="shared" si="186"/>
        <v>5.3516642735087165</v>
      </c>
      <c r="ER108" s="73">
        <f t="shared" si="211"/>
        <v>2618.941621921896</v>
      </c>
      <c r="ES108" s="87"/>
      <c r="ET108" s="142">
        <v>0</v>
      </c>
      <c r="EU108" s="142">
        <v>0</v>
      </c>
      <c r="EV108" s="142">
        <v>6</v>
      </c>
      <c r="EW108" s="142">
        <v>39.8</v>
      </c>
      <c r="EX108" s="142">
        <v>0</v>
      </c>
      <c r="EY108" s="142">
        <v>0</v>
      </c>
      <c r="EZ108" s="142">
        <v>0</v>
      </c>
      <c r="FA108" s="142">
        <v>4.8</v>
      </c>
      <c r="FB108" s="142">
        <v>49.4</v>
      </c>
      <c r="FC108" s="92">
        <f t="shared" si="188"/>
        <v>2485.949430004527</v>
      </c>
      <c r="FE108" s="142">
        <v>611</v>
      </c>
      <c r="FF108" s="167">
        <f t="shared" si="196"/>
        <v>208</v>
      </c>
      <c r="FG108" s="167">
        <f t="shared" si="197"/>
        <v>2.2</v>
      </c>
      <c r="FH108" s="167">
        <f t="shared" si="199"/>
        <v>28.8</v>
      </c>
      <c r="FI108" s="167">
        <v>8</v>
      </c>
      <c r="FJ108" s="167">
        <v>6</v>
      </c>
      <c r="FK108" s="142">
        <v>1</v>
      </c>
      <c r="FL108" s="142">
        <f t="shared" si="198"/>
        <v>7.141692822584841</v>
      </c>
      <c r="FM108" s="142">
        <f t="shared" si="207"/>
        <v>1963.9655262108313</v>
      </c>
    </row>
    <row r="109" spans="1:169" s="4" customFormat="1" ht="17.25">
      <c r="A109" s="105">
        <v>102</v>
      </c>
      <c r="B109" s="94" t="s">
        <v>482</v>
      </c>
      <c r="C109" s="75">
        <v>1</v>
      </c>
      <c r="D109" s="94">
        <v>2</v>
      </c>
      <c r="E109" s="75">
        <v>675</v>
      </c>
      <c r="F109" s="75">
        <v>1450</v>
      </c>
      <c r="G109" s="75">
        <v>2000</v>
      </c>
      <c r="H109" s="94">
        <v>128</v>
      </c>
      <c r="I109" s="72">
        <v>16</v>
      </c>
      <c r="J109" s="94">
        <v>16</v>
      </c>
      <c r="K109" s="94">
        <v>8</v>
      </c>
      <c r="L109" s="100" t="s">
        <v>30</v>
      </c>
      <c r="M109" s="94">
        <v>32</v>
      </c>
      <c r="N109" s="100" t="s">
        <v>30</v>
      </c>
      <c r="O109" s="94" t="s">
        <v>21</v>
      </c>
      <c r="P109" s="77">
        <f t="shared" si="213"/>
        <v>96.46492368975991</v>
      </c>
      <c r="Q109" s="78">
        <f t="shared" si="200"/>
        <v>1823.4982744568497</v>
      </c>
      <c r="R109" s="78">
        <f t="shared" si="191"/>
        <v>1555.7462181079252</v>
      </c>
      <c r="S109" s="89">
        <v>256</v>
      </c>
      <c r="T109" s="102">
        <v>20</v>
      </c>
      <c r="U109" s="102">
        <v>55</v>
      </c>
      <c r="V109" s="94" t="s">
        <v>55</v>
      </c>
      <c r="W109" s="94" t="s">
        <v>42</v>
      </c>
      <c r="X109" s="14" t="s">
        <v>41</v>
      </c>
      <c r="Y109" s="94" t="s">
        <v>23</v>
      </c>
      <c r="Z109" s="95">
        <v>7.2</v>
      </c>
      <c r="AA109" s="124" t="s">
        <v>559</v>
      </c>
      <c r="AB109" s="94">
        <v>10</v>
      </c>
      <c r="AC109" s="96">
        <v>3</v>
      </c>
      <c r="AD109" s="97">
        <v>173</v>
      </c>
      <c r="AE109" s="98">
        <f>289*C109</f>
        <v>289</v>
      </c>
      <c r="AF109" s="99">
        <v>80</v>
      </c>
      <c r="AG109" s="94"/>
      <c r="AH109" s="91"/>
      <c r="AI109" s="87">
        <f t="shared" si="214"/>
        <v>10.8</v>
      </c>
      <c r="AJ109" s="91">
        <f t="shared" si="215"/>
        <v>10.8</v>
      </c>
      <c r="AK109" s="91">
        <f t="shared" si="216"/>
        <v>5.4</v>
      </c>
      <c r="AL109" s="87">
        <f t="shared" si="139"/>
        <v>21.333333333333332</v>
      </c>
      <c r="AM109" s="92">
        <f t="shared" si="189"/>
        <v>23.2</v>
      </c>
      <c r="AN109" s="92">
        <f t="shared" si="210"/>
        <v>1</v>
      </c>
      <c r="AO109" s="87">
        <v>2</v>
      </c>
      <c r="AP109" s="87">
        <v>1</v>
      </c>
      <c r="AQ109" s="87">
        <v>1</v>
      </c>
      <c r="AR109" s="87">
        <v>5</v>
      </c>
      <c r="AS109" s="87">
        <v>5</v>
      </c>
      <c r="AT109" s="87">
        <v>1</v>
      </c>
      <c r="AU109" s="87">
        <v>1.3</v>
      </c>
      <c r="AV109" s="87">
        <v>1</v>
      </c>
      <c r="AW109" s="87">
        <f t="shared" si="217"/>
        <v>10.8</v>
      </c>
      <c r="AX109" s="87">
        <f t="shared" si="218"/>
        <v>9.25714285714286</v>
      </c>
      <c r="AY109" s="91">
        <f t="shared" si="219"/>
        <v>17.52338028169014</v>
      </c>
      <c r="AZ109" s="91">
        <f t="shared" si="220"/>
        <v>20.335788431566666</v>
      </c>
      <c r="BA109" s="91"/>
      <c r="BB109" s="73">
        <v>0.02</v>
      </c>
      <c r="BC109" s="73">
        <f t="shared" si="221"/>
        <v>19.929072662935333</v>
      </c>
      <c r="BD109" s="73">
        <v>4.840412061378459</v>
      </c>
      <c r="BE109" s="87">
        <v>5.7504095289176105</v>
      </c>
      <c r="BF109" s="42"/>
      <c r="BG109" s="42"/>
      <c r="BH109" s="92">
        <v>548</v>
      </c>
      <c r="BI109" s="92">
        <f t="shared" si="147"/>
        <v>108</v>
      </c>
      <c r="BJ109" s="92">
        <f t="shared" si="148"/>
        <v>1.7777777777777777</v>
      </c>
      <c r="BK109" s="87">
        <f t="shared" si="149"/>
        <v>11.6</v>
      </c>
      <c r="BL109" s="87">
        <v>8</v>
      </c>
      <c r="BM109" s="87">
        <v>6</v>
      </c>
      <c r="BN109" s="87">
        <v>1</v>
      </c>
      <c r="BO109" s="93">
        <f t="shared" si="150"/>
        <v>5.65725897493791</v>
      </c>
      <c r="BP109" s="92">
        <f t="shared" si="151"/>
        <v>1234.7190417439483</v>
      </c>
      <c r="BQ109" s="42"/>
      <c r="BR109" s="92">
        <v>375</v>
      </c>
      <c r="BS109" s="92">
        <f t="shared" si="152"/>
        <v>108</v>
      </c>
      <c r="BT109" s="92">
        <f t="shared" si="153"/>
        <v>1.7777777777777777</v>
      </c>
      <c r="BU109" s="92">
        <f t="shared" si="154"/>
        <v>11.6</v>
      </c>
      <c r="BV109" s="92">
        <v>8</v>
      </c>
      <c r="BW109" s="92">
        <v>6</v>
      </c>
      <c r="BX109" s="92">
        <v>1</v>
      </c>
      <c r="BY109" s="93">
        <f t="shared" si="155"/>
        <v>5.65725897493791</v>
      </c>
      <c r="BZ109" s="73">
        <f t="shared" si="156"/>
        <v>1612.4193354623362</v>
      </c>
      <c r="CA109" s="42"/>
      <c r="CB109" s="92">
        <v>783</v>
      </c>
      <c r="CC109" s="92">
        <f t="shared" si="157"/>
        <v>108</v>
      </c>
      <c r="CD109" s="92">
        <f t="shared" si="158"/>
        <v>1.7777777777777777</v>
      </c>
      <c r="CE109" s="92">
        <f t="shared" si="159"/>
        <v>11.6</v>
      </c>
      <c r="CF109" s="92">
        <v>8</v>
      </c>
      <c r="CG109" s="92">
        <v>6</v>
      </c>
      <c r="CH109" s="92">
        <v>4</v>
      </c>
      <c r="CI109" s="93">
        <f t="shared" si="160"/>
        <v>5.271617925520724</v>
      </c>
      <c r="CJ109" s="73">
        <f t="shared" si="161"/>
        <v>1718.5508110420283</v>
      </c>
      <c r="CK109" s="42"/>
      <c r="CL109" s="92">
        <v>353</v>
      </c>
      <c r="CM109" s="92">
        <f t="shared" si="162"/>
        <v>108</v>
      </c>
      <c r="CN109" s="92">
        <f t="shared" si="163"/>
        <v>1.7777777777777777</v>
      </c>
      <c r="CO109" s="92">
        <f t="shared" si="164"/>
        <v>11.6</v>
      </c>
      <c r="CP109" s="92">
        <v>8</v>
      </c>
      <c r="CQ109" s="92">
        <v>6</v>
      </c>
      <c r="CR109" s="92">
        <v>1</v>
      </c>
      <c r="CS109" s="93">
        <f t="shared" si="165"/>
        <v>5.65725897493791</v>
      </c>
      <c r="CT109" s="73">
        <f t="shared" si="202"/>
        <v>1960.2918880354964</v>
      </c>
      <c r="CU109" s="42"/>
      <c r="CV109" s="92">
        <v>472</v>
      </c>
      <c r="CW109" s="92">
        <f t="shared" si="167"/>
        <v>108</v>
      </c>
      <c r="CX109" s="92">
        <f t="shared" si="168"/>
        <v>1.7777777777777777</v>
      </c>
      <c r="CY109" s="92">
        <f t="shared" si="192"/>
        <v>11.6</v>
      </c>
      <c r="CZ109" s="92">
        <v>8</v>
      </c>
      <c r="DA109" s="92">
        <v>6</v>
      </c>
      <c r="DB109" s="92">
        <v>1</v>
      </c>
      <c r="DC109" s="93">
        <f t="shared" si="169"/>
        <v>5.65725897493791</v>
      </c>
      <c r="DD109" s="73">
        <f t="shared" si="203"/>
        <v>1733.5190298787907</v>
      </c>
      <c r="DE109" s="42"/>
      <c r="DF109" s="73">
        <v>1888</v>
      </c>
      <c r="DG109" s="73">
        <f t="shared" si="171"/>
        <v>108</v>
      </c>
      <c r="DH109" s="73">
        <f t="shared" si="172"/>
        <v>1.7777777777777777</v>
      </c>
      <c r="DI109" s="73">
        <f t="shared" si="173"/>
        <v>11.6</v>
      </c>
      <c r="DJ109" s="92">
        <v>8</v>
      </c>
      <c r="DK109" s="92">
        <v>6</v>
      </c>
      <c r="DL109" s="92">
        <v>1</v>
      </c>
      <c r="DM109" s="93">
        <f t="shared" si="174"/>
        <v>5.65725897493791</v>
      </c>
      <c r="DN109" s="73">
        <f t="shared" si="204"/>
        <v>1759.011956788773</v>
      </c>
      <c r="DO109" s="42"/>
      <c r="DP109" s="92">
        <v>445</v>
      </c>
      <c r="DQ109" s="73">
        <f t="shared" si="176"/>
        <v>108</v>
      </c>
      <c r="DR109" s="92">
        <f t="shared" si="177"/>
        <v>33.333333333333336</v>
      </c>
      <c r="DS109" s="73">
        <f t="shared" si="178"/>
        <v>11.6</v>
      </c>
      <c r="DT109" s="92">
        <v>8</v>
      </c>
      <c r="DU109" s="92">
        <v>6</v>
      </c>
      <c r="DV109" s="92">
        <v>1</v>
      </c>
      <c r="DW109" s="93">
        <f t="shared" si="179"/>
        <v>58.77495871490767</v>
      </c>
      <c r="DX109" s="92">
        <f t="shared" si="180"/>
        <v>7637.117126830495</v>
      </c>
      <c r="DY109" s="42"/>
      <c r="DZ109" s="73">
        <v>587</v>
      </c>
      <c r="EA109" s="92">
        <f t="shared" si="181"/>
        <v>108</v>
      </c>
      <c r="EB109" s="92">
        <f t="shared" si="182"/>
        <v>1.7777777777777777</v>
      </c>
      <c r="EC109" s="92">
        <f t="shared" si="183"/>
        <v>11.6</v>
      </c>
      <c r="ED109" s="92">
        <v>8</v>
      </c>
      <c r="EE109" s="92">
        <v>6</v>
      </c>
      <c r="EF109" s="92">
        <v>1</v>
      </c>
      <c r="EG109" s="93">
        <f t="shared" si="184"/>
        <v>5.65725897493791</v>
      </c>
      <c r="EH109" s="92">
        <f t="shared" si="185"/>
        <v>1727.405883420001</v>
      </c>
      <c r="EI109" s="42"/>
      <c r="EJ109" s="92">
        <v>450</v>
      </c>
      <c r="EK109" s="73">
        <f t="shared" si="193"/>
        <v>4.5</v>
      </c>
      <c r="EL109" s="73">
        <f t="shared" si="194"/>
        <v>1.7777777777777777</v>
      </c>
      <c r="EM109" s="73">
        <f t="shared" si="195"/>
        <v>4.64</v>
      </c>
      <c r="EN109" s="92">
        <v>8</v>
      </c>
      <c r="EO109" s="92">
        <v>6</v>
      </c>
      <c r="EP109" s="92">
        <v>1</v>
      </c>
      <c r="EQ109" s="93">
        <f t="shared" si="186"/>
        <v>3.725577660808279</v>
      </c>
      <c r="ER109" s="73">
        <f t="shared" si="211"/>
        <v>1790.4649167282148</v>
      </c>
      <c r="ES109" s="42"/>
      <c r="ET109" s="142">
        <v>0</v>
      </c>
      <c r="EU109" s="142">
        <v>0</v>
      </c>
      <c r="EV109" s="142">
        <v>6</v>
      </c>
      <c r="EW109" s="142">
        <v>39.8</v>
      </c>
      <c r="EX109" s="142">
        <v>0</v>
      </c>
      <c r="EY109" s="142">
        <v>0</v>
      </c>
      <c r="EZ109" s="142">
        <v>0</v>
      </c>
      <c r="FA109" s="142">
        <v>4.8</v>
      </c>
      <c r="FB109" s="142">
        <v>49.4</v>
      </c>
      <c r="FC109" s="92">
        <f t="shared" si="188"/>
        <v>1823.4982744568497</v>
      </c>
      <c r="FE109" s="142">
        <v>611</v>
      </c>
      <c r="FF109" s="167">
        <f t="shared" si="196"/>
        <v>108</v>
      </c>
      <c r="FG109" s="167">
        <f t="shared" si="197"/>
        <v>1.7777777777777777</v>
      </c>
      <c r="FH109" s="167">
        <f t="shared" si="199"/>
        <v>11.6</v>
      </c>
      <c r="FI109" s="167">
        <v>8</v>
      </c>
      <c r="FJ109" s="167">
        <v>6</v>
      </c>
      <c r="FK109" s="142">
        <v>1</v>
      </c>
      <c r="FL109" s="142">
        <f t="shared" si="198"/>
        <v>5.65725897493791</v>
      </c>
      <c r="FM109" s="142">
        <f t="shared" si="207"/>
        <v>1555.7462181079252</v>
      </c>
    </row>
    <row r="110" spans="1:169" s="4" customFormat="1" ht="17.25">
      <c r="A110" s="105">
        <v>103</v>
      </c>
      <c r="B110" s="94" t="s">
        <v>483</v>
      </c>
      <c r="C110" s="75">
        <v>1</v>
      </c>
      <c r="D110" s="94">
        <v>2</v>
      </c>
      <c r="E110" s="75">
        <v>540</v>
      </c>
      <c r="F110" s="75">
        <v>1180</v>
      </c>
      <c r="G110" s="75">
        <v>1400</v>
      </c>
      <c r="H110" s="94">
        <v>128</v>
      </c>
      <c r="I110" s="72">
        <f aca="true" t="shared" si="222" ref="I110:I116">J110</f>
        <v>16</v>
      </c>
      <c r="J110" s="94">
        <v>16</v>
      </c>
      <c r="K110" s="94">
        <v>8</v>
      </c>
      <c r="L110" s="100" t="s">
        <v>30</v>
      </c>
      <c r="M110" s="94">
        <v>32</v>
      </c>
      <c r="N110" s="100" t="s">
        <v>30</v>
      </c>
      <c r="O110" s="94" t="s">
        <v>21</v>
      </c>
      <c r="P110" s="77">
        <f t="shared" si="213"/>
        <v>74.1366147336654</v>
      </c>
      <c r="Q110" s="78">
        <f t="shared" si="200"/>
        <v>1304.3928213839918</v>
      </c>
      <c r="R110" s="78">
        <f t="shared" si="191"/>
        <v>1095.6277075610737</v>
      </c>
      <c r="S110" s="89">
        <v>256</v>
      </c>
      <c r="T110" s="102">
        <v>25</v>
      </c>
      <c r="U110" s="102">
        <v>50</v>
      </c>
      <c r="V110" s="94" t="s">
        <v>55</v>
      </c>
      <c r="W110" s="94" t="s">
        <v>27</v>
      </c>
      <c r="X110" s="94" t="s">
        <v>28</v>
      </c>
      <c r="Y110" s="94" t="s">
        <v>23</v>
      </c>
      <c r="Z110" s="95">
        <v>6.875</v>
      </c>
      <c r="AA110" s="124" t="s">
        <v>559</v>
      </c>
      <c r="AB110" s="94">
        <v>10</v>
      </c>
      <c r="AC110" s="96">
        <v>3</v>
      </c>
      <c r="AD110" s="97">
        <v>173</v>
      </c>
      <c r="AE110" s="98">
        <f>289*C110</f>
        <v>289</v>
      </c>
      <c r="AF110" s="99">
        <v>80</v>
      </c>
      <c r="AG110" s="94"/>
      <c r="AH110" s="91"/>
      <c r="AI110" s="87">
        <f t="shared" si="214"/>
        <v>8.64</v>
      </c>
      <c r="AJ110" s="91">
        <f t="shared" si="215"/>
        <v>8.64</v>
      </c>
      <c r="AK110" s="91">
        <f t="shared" si="216"/>
        <v>4.32</v>
      </c>
      <c r="AL110" s="87">
        <f t="shared" si="139"/>
        <v>14.933333333333334</v>
      </c>
      <c r="AM110" s="92">
        <f t="shared" si="189"/>
        <v>18.88</v>
      </c>
      <c r="AN110" s="92">
        <f t="shared" si="210"/>
        <v>1</v>
      </c>
      <c r="AO110" s="87">
        <v>2</v>
      </c>
      <c r="AP110" s="87">
        <v>1</v>
      </c>
      <c r="AQ110" s="87">
        <v>1</v>
      </c>
      <c r="AR110" s="87">
        <v>5</v>
      </c>
      <c r="AS110" s="87">
        <v>5</v>
      </c>
      <c r="AT110" s="87">
        <v>1</v>
      </c>
      <c r="AU110" s="87">
        <v>1.3</v>
      </c>
      <c r="AV110" s="87">
        <v>1</v>
      </c>
      <c r="AW110" s="87">
        <f t="shared" si="217"/>
        <v>8.639999999999999</v>
      </c>
      <c r="AX110" s="87">
        <f t="shared" si="218"/>
        <v>7.405714285714285</v>
      </c>
      <c r="AY110" s="91">
        <f t="shared" si="219"/>
        <v>12.769970674486801</v>
      </c>
      <c r="AZ110" s="91">
        <f t="shared" si="220"/>
        <v>15.628753484583198</v>
      </c>
      <c r="BA110" s="91"/>
      <c r="BB110" s="73">
        <v>0.02</v>
      </c>
      <c r="BC110" s="73">
        <f t="shared" si="221"/>
        <v>15.316178414891533</v>
      </c>
      <c r="BD110" s="73">
        <v>4.840412061378459</v>
      </c>
      <c r="BE110" s="87">
        <v>5.7504095289176105</v>
      </c>
      <c r="BF110" s="42"/>
      <c r="BG110" s="42"/>
      <c r="BH110" s="92">
        <v>548</v>
      </c>
      <c r="BI110" s="92">
        <f t="shared" si="147"/>
        <v>86.4</v>
      </c>
      <c r="BJ110" s="92">
        <f t="shared" si="148"/>
        <v>1.2444444444444445</v>
      </c>
      <c r="BK110" s="87">
        <f t="shared" si="149"/>
        <v>9.44</v>
      </c>
      <c r="BL110" s="87">
        <v>8</v>
      </c>
      <c r="BM110" s="87">
        <v>6</v>
      </c>
      <c r="BN110" s="87">
        <v>1</v>
      </c>
      <c r="BO110" s="93">
        <f t="shared" si="150"/>
        <v>3.9841007547675407</v>
      </c>
      <c r="BP110" s="92">
        <f t="shared" si="151"/>
        <v>845.4936278422565</v>
      </c>
      <c r="BQ110" s="42"/>
      <c r="BR110" s="92">
        <v>375</v>
      </c>
      <c r="BS110" s="92">
        <f t="shared" si="152"/>
        <v>86.4</v>
      </c>
      <c r="BT110" s="92">
        <f t="shared" si="153"/>
        <v>1.2444444444444445</v>
      </c>
      <c r="BU110" s="92">
        <f t="shared" si="154"/>
        <v>9.44</v>
      </c>
      <c r="BV110" s="92">
        <v>8</v>
      </c>
      <c r="BW110" s="92">
        <v>6</v>
      </c>
      <c r="BX110" s="92">
        <v>1</v>
      </c>
      <c r="BY110" s="93">
        <f t="shared" si="155"/>
        <v>3.9841007547675407</v>
      </c>
      <c r="BZ110" s="73">
        <f t="shared" si="156"/>
        <v>1139.5280175227633</v>
      </c>
      <c r="CA110" s="42"/>
      <c r="CB110" s="92">
        <v>783</v>
      </c>
      <c r="CC110" s="92">
        <f t="shared" si="157"/>
        <v>86.4</v>
      </c>
      <c r="CD110" s="92">
        <f t="shared" si="158"/>
        <v>1.2444444444444445</v>
      </c>
      <c r="CE110" s="92">
        <f t="shared" si="159"/>
        <v>9.44</v>
      </c>
      <c r="CF110" s="92">
        <v>8</v>
      </c>
      <c r="CG110" s="92">
        <v>6</v>
      </c>
      <c r="CH110" s="92">
        <v>4</v>
      </c>
      <c r="CI110" s="93">
        <f t="shared" si="160"/>
        <v>3.746897116576013</v>
      </c>
      <c r="CJ110" s="73">
        <f t="shared" si="161"/>
        <v>1200.8164022237277</v>
      </c>
      <c r="CK110" s="42"/>
      <c r="CL110" s="92">
        <v>353</v>
      </c>
      <c r="CM110" s="92">
        <f t="shared" si="162"/>
        <v>86.4</v>
      </c>
      <c r="CN110" s="92">
        <f t="shared" si="163"/>
        <v>1.2444444444444445</v>
      </c>
      <c r="CO110" s="92">
        <f t="shared" si="164"/>
        <v>9.44</v>
      </c>
      <c r="CP110" s="92">
        <v>8</v>
      </c>
      <c r="CQ110" s="92">
        <v>6</v>
      </c>
      <c r="CR110" s="92">
        <v>1</v>
      </c>
      <c r="CS110" s="93">
        <f t="shared" si="165"/>
        <v>3.9841007547675407</v>
      </c>
      <c r="CT110" s="73">
        <f t="shared" si="202"/>
        <v>1395.1254715284115</v>
      </c>
      <c r="CU110" s="42"/>
      <c r="CV110" s="92">
        <v>472</v>
      </c>
      <c r="CW110" s="92">
        <f t="shared" si="167"/>
        <v>86.4</v>
      </c>
      <c r="CX110" s="92">
        <f t="shared" si="168"/>
        <v>1.2444444444444445</v>
      </c>
      <c r="CY110" s="92">
        <f t="shared" si="192"/>
        <v>9.44</v>
      </c>
      <c r="CZ110" s="92">
        <v>8</v>
      </c>
      <c r="DA110" s="92">
        <v>6</v>
      </c>
      <c r="DB110" s="92">
        <v>1</v>
      </c>
      <c r="DC110" s="93">
        <f t="shared" si="169"/>
        <v>3.9841007547675407</v>
      </c>
      <c r="DD110" s="73">
        <f t="shared" si="203"/>
        <v>1246.7788060958117</v>
      </c>
      <c r="DE110" s="42"/>
      <c r="DF110" s="73">
        <v>1888</v>
      </c>
      <c r="DG110" s="73">
        <f t="shared" si="171"/>
        <v>86.4</v>
      </c>
      <c r="DH110" s="73">
        <f t="shared" si="172"/>
        <v>1.2444444444444445</v>
      </c>
      <c r="DI110" s="73">
        <f t="shared" si="173"/>
        <v>9.44</v>
      </c>
      <c r="DJ110" s="92">
        <v>8</v>
      </c>
      <c r="DK110" s="92">
        <v>6</v>
      </c>
      <c r="DL110" s="92">
        <v>1</v>
      </c>
      <c r="DM110" s="93">
        <f t="shared" si="174"/>
        <v>3.9841007547675407</v>
      </c>
      <c r="DN110" s="73">
        <f t="shared" si="204"/>
        <v>1265.113788538397</v>
      </c>
      <c r="DO110" s="42"/>
      <c r="DP110" s="92">
        <v>445</v>
      </c>
      <c r="DQ110" s="73">
        <f t="shared" si="176"/>
        <v>86.4</v>
      </c>
      <c r="DR110" s="92">
        <f t="shared" si="177"/>
        <v>16.333333333333332</v>
      </c>
      <c r="DS110" s="73">
        <f t="shared" si="178"/>
        <v>9.44</v>
      </c>
      <c r="DT110" s="92">
        <v>8</v>
      </c>
      <c r="DU110" s="92">
        <v>6</v>
      </c>
      <c r="DV110" s="92">
        <v>1</v>
      </c>
      <c r="DW110" s="93">
        <f t="shared" si="179"/>
        <v>35.34369853011925</v>
      </c>
      <c r="DX110" s="92">
        <f t="shared" si="180"/>
        <v>4783.2110062010215</v>
      </c>
      <c r="DY110" s="42"/>
      <c r="DZ110" s="73">
        <v>587</v>
      </c>
      <c r="EA110" s="92">
        <f t="shared" si="181"/>
        <v>86.4</v>
      </c>
      <c r="EB110" s="92">
        <f t="shared" si="182"/>
        <v>1.2444444444444445</v>
      </c>
      <c r="EC110" s="92">
        <f t="shared" si="183"/>
        <v>9.44</v>
      </c>
      <c r="ED110" s="92">
        <v>8</v>
      </c>
      <c r="EE110" s="92">
        <v>6</v>
      </c>
      <c r="EF110" s="92">
        <v>1</v>
      </c>
      <c r="EG110" s="93">
        <f t="shared" si="184"/>
        <v>3.9841007547675407</v>
      </c>
      <c r="EH110" s="92">
        <f t="shared" si="185"/>
        <v>1195.3769021014532</v>
      </c>
      <c r="EI110" s="42"/>
      <c r="EJ110" s="92">
        <v>450</v>
      </c>
      <c r="EK110" s="73">
        <f t="shared" si="193"/>
        <v>3.6</v>
      </c>
      <c r="EL110" s="73">
        <f t="shared" si="194"/>
        <v>1.2444444444444445</v>
      </c>
      <c r="EM110" s="73">
        <f t="shared" si="195"/>
        <v>3.776</v>
      </c>
      <c r="EN110" s="92">
        <v>8</v>
      </c>
      <c r="EO110" s="92">
        <v>6</v>
      </c>
      <c r="EP110" s="92">
        <v>1</v>
      </c>
      <c r="EQ110" s="93">
        <f t="shared" si="186"/>
        <v>2.736546646727252</v>
      </c>
      <c r="ER110" s="73">
        <f t="shared" si="211"/>
        <v>1295.0171266096334</v>
      </c>
      <c r="ES110" s="42"/>
      <c r="ET110" s="142">
        <v>0</v>
      </c>
      <c r="EU110" s="142">
        <v>0</v>
      </c>
      <c r="EV110" s="142">
        <v>6</v>
      </c>
      <c r="EW110" s="142">
        <v>39.8</v>
      </c>
      <c r="EX110" s="142">
        <v>0</v>
      </c>
      <c r="EY110" s="142">
        <v>0</v>
      </c>
      <c r="EZ110" s="142">
        <v>0</v>
      </c>
      <c r="FA110" s="142">
        <v>4.8</v>
      </c>
      <c r="FB110" s="142">
        <v>49.4</v>
      </c>
      <c r="FC110" s="92">
        <f t="shared" si="188"/>
        <v>1304.3928213839918</v>
      </c>
      <c r="FE110" s="142">
        <v>611</v>
      </c>
      <c r="FF110" s="167">
        <f t="shared" si="196"/>
        <v>86.4</v>
      </c>
      <c r="FG110" s="167">
        <f t="shared" si="197"/>
        <v>1.2444444444444445</v>
      </c>
      <c r="FH110" s="167">
        <f t="shared" si="199"/>
        <v>9.44</v>
      </c>
      <c r="FI110" s="167">
        <v>8</v>
      </c>
      <c r="FJ110" s="167">
        <v>6</v>
      </c>
      <c r="FK110" s="142">
        <v>1</v>
      </c>
      <c r="FL110" s="142">
        <f t="shared" si="198"/>
        <v>3.9841007547675407</v>
      </c>
      <c r="FM110" s="142">
        <f t="shared" si="207"/>
        <v>1095.6277075610737</v>
      </c>
    </row>
    <row r="111" spans="1:169" s="4" customFormat="1" ht="17.25">
      <c r="A111" s="105">
        <v>104</v>
      </c>
      <c r="B111" s="94" t="s">
        <v>101</v>
      </c>
      <c r="C111" s="75">
        <v>1</v>
      </c>
      <c r="D111" s="94">
        <v>2</v>
      </c>
      <c r="E111" s="75">
        <v>550</v>
      </c>
      <c r="F111" s="75">
        <v>1400</v>
      </c>
      <c r="G111" s="75">
        <v>1600</v>
      </c>
      <c r="H111" s="94">
        <v>128</v>
      </c>
      <c r="I111" s="72">
        <f t="shared" si="222"/>
        <v>16</v>
      </c>
      <c r="J111" s="94">
        <v>16</v>
      </c>
      <c r="K111" s="94">
        <v>8</v>
      </c>
      <c r="L111" s="100" t="s">
        <v>30</v>
      </c>
      <c r="M111" s="94">
        <v>32</v>
      </c>
      <c r="N111" s="100" t="s">
        <v>30</v>
      </c>
      <c r="O111" s="94" t="s">
        <v>21</v>
      </c>
      <c r="P111" s="77">
        <f t="shared" si="213"/>
        <v>84.60224721936565</v>
      </c>
      <c r="Q111" s="78">
        <f t="shared" si="200"/>
        <v>1466.6836692054796</v>
      </c>
      <c r="R111" s="78">
        <f t="shared" si="191"/>
        <v>1250.299843158963</v>
      </c>
      <c r="S111" s="89">
        <v>512</v>
      </c>
      <c r="T111" s="102" t="s">
        <v>47</v>
      </c>
      <c r="U111" s="102" t="s">
        <v>47</v>
      </c>
      <c r="V111" s="94" t="s">
        <v>37</v>
      </c>
      <c r="W111" s="94" t="s">
        <v>28</v>
      </c>
      <c r="X111" s="94" t="s">
        <v>28</v>
      </c>
      <c r="Y111" s="94" t="s">
        <v>23</v>
      </c>
      <c r="Z111" s="95">
        <v>6.875</v>
      </c>
      <c r="AA111" s="124" t="s">
        <v>559</v>
      </c>
      <c r="AB111" s="94">
        <v>10</v>
      </c>
      <c r="AC111" s="96">
        <v>3</v>
      </c>
      <c r="AD111" s="97"/>
      <c r="AE111" s="98">
        <f>314*C111</f>
        <v>314</v>
      </c>
      <c r="AF111" s="99" t="s">
        <v>47</v>
      </c>
      <c r="AG111" s="94"/>
      <c r="AH111" s="91"/>
      <c r="AI111" s="87">
        <f t="shared" si="214"/>
        <v>8.8</v>
      </c>
      <c r="AJ111" s="91">
        <f t="shared" si="215"/>
        <v>8.8</v>
      </c>
      <c r="AK111" s="91">
        <f t="shared" si="216"/>
        <v>4.4</v>
      </c>
      <c r="AL111" s="87">
        <f t="shared" si="139"/>
        <v>17.066666666666666</v>
      </c>
      <c r="AM111" s="92">
        <f t="shared" si="189"/>
        <v>22.4</v>
      </c>
      <c r="AN111" s="92">
        <f t="shared" si="210"/>
        <v>1</v>
      </c>
      <c r="AO111" s="87">
        <v>2</v>
      </c>
      <c r="AP111" s="87">
        <v>1</v>
      </c>
      <c r="AQ111" s="87">
        <v>1</v>
      </c>
      <c r="AR111" s="87">
        <v>5</v>
      </c>
      <c r="AS111" s="87">
        <v>5</v>
      </c>
      <c r="AT111" s="87">
        <v>1</v>
      </c>
      <c r="AU111" s="87">
        <v>1.3</v>
      </c>
      <c r="AV111" s="87">
        <v>1</v>
      </c>
      <c r="AW111" s="87">
        <f t="shared" si="217"/>
        <v>8.8</v>
      </c>
      <c r="AX111" s="87">
        <f t="shared" si="218"/>
        <v>7.5428571428571445</v>
      </c>
      <c r="AY111" s="91">
        <f t="shared" si="219"/>
        <v>14.099582753824759</v>
      </c>
      <c r="AZ111" s="91">
        <f t="shared" si="220"/>
        <v>17.83501540747864</v>
      </c>
      <c r="BA111" s="91"/>
      <c r="BB111" s="73">
        <v>0.02</v>
      </c>
      <c r="BC111" s="73">
        <f t="shared" si="221"/>
        <v>17.478315099329066</v>
      </c>
      <c r="BD111" s="73">
        <v>4.840412061378459</v>
      </c>
      <c r="BE111" s="87">
        <v>5.7504095289176105</v>
      </c>
      <c r="BF111" s="42"/>
      <c r="BG111" s="42"/>
      <c r="BH111" s="92">
        <v>548</v>
      </c>
      <c r="BI111" s="92">
        <f t="shared" si="147"/>
        <v>88</v>
      </c>
      <c r="BJ111" s="92">
        <f t="shared" si="148"/>
        <v>1.4222222222222223</v>
      </c>
      <c r="BK111" s="87">
        <f t="shared" si="149"/>
        <v>11.2</v>
      </c>
      <c r="BL111" s="87">
        <v>8</v>
      </c>
      <c r="BM111" s="87">
        <v>6</v>
      </c>
      <c r="BN111" s="87">
        <v>1</v>
      </c>
      <c r="BO111" s="93">
        <f t="shared" si="150"/>
        <v>4.546544884214411</v>
      </c>
      <c r="BP111" s="92">
        <f t="shared" si="151"/>
        <v>975.1010014110492</v>
      </c>
      <c r="BQ111" s="42"/>
      <c r="BR111" s="92">
        <v>375</v>
      </c>
      <c r="BS111" s="92">
        <f t="shared" si="152"/>
        <v>88</v>
      </c>
      <c r="BT111" s="92">
        <f t="shared" si="153"/>
        <v>1.4222222222222223</v>
      </c>
      <c r="BU111" s="92">
        <f t="shared" si="154"/>
        <v>11.2</v>
      </c>
      <c r="BV111" s="92">
        <v>8</v>
      </c>
      <c r="BW111" s="92">
        <v>6</v>
      </c>
      <c r="BX111" s="92">
        <v>1</v>
      </c>
      <c r="BY111" s="93">
        <f t="shared" si="155"/>
        <v>4.546544884214411</v>
      </c>
      <c r="BZ111" s="73">
        <f t="shared" si="156"/>
        <v>1298.681535827917</v>
      </c>
      <c r="CA111" s="42"/>
      <c r="CB111" s="92">
        <v>783</v>
      </c>
      <c r="CC111" s="92">
        <f t="shared" si="157"/>
        <v>88</v>
      </c>
      <c r="CD111" s="92">
        <f t="shared" si="158"/>
        <v>1.4222222222222223</v>
      </c>
      <c r="CE111" s="92">
        <f t="shared" si="159"/>
        <v>11.2</v>
      </c>
      <c r="CF111" s="92">
        <v>8</v>
      </c>
      <c r="CG111" s="92">
        <v>6</v>
      </c>
      <c r="CH111" s="92">
        <v>4</v>
      </c>
      <c r="CI111" s="93">
        <f t="shared" si="160"/>
        <v>4.28559005130881</v>
      </c>
      <c r="CJ111" s="73">
        <f t="shared" si="161"/>
        <v>1382.7141625546844</v>
      </c>
      <c r="CK111" s="42"/>
      <c r="CL111" s="92">
        <v>353</v>
      </c>
      <c r="CM111" s="92">
        <f t="shared" si="162"/>
        <v>88</v>
      </c>
      <c r="CN111" s="92">
        <f t="shared" si="163"/>
        <v>1.4222222222222223</v>
      </c>
      <c r="CO111" s="92">
        <f t="shared" si="164"/>
        <v>11.2</v>
      </c>
      <c r="CP111" s="92">
        <v>8</v>
      </c>
      <c r="CQ111" s="92">
        <v>6</v>
      </c>
      <c r="CR111" s="92">
        <v>1</v>
      </c>
      <c r="CS111" s="93">
        <f t="shared" si="165"/>
        <v>4.546544884214411</v>
      </c>
      <c r="CT111" s="73">
        <f t="shared" si="202"/>
        <v>1585.7835296243504</v>
      </c>
      <c r="CU111" s="42"/>
      <c r="CV111" s="92">
        <v>472</v>
      </c>
      <c r="CW111" s="92">
        <f t="shared" si="167"/>
        <v>88</v>
      </c>
      <c r="CX111" s="92">
        <f t="shared" si="168"/>
        <v>1.4222222222222223</v>
      </c>
      <c r="CY111" s="92">
        <f t="shared" si="192"/>
        <v>11.2</v>
      </c>
      <c r="CZ111" s="92">
        <v>8</v>
      </c>
      <c r="DA111" s="92">
        <v>6</v>
      </c>
      <c r="DB111" s="92">
        <v>1</v>
      </c>
      <c r="DC111" s="93">
        <f t="shared" si="169"/>
        <v>4.546544884214411</v>
      </c>
      <c r="DD111" s="73">
        <f t="shared" si="203"/>
        <v>1411.5605456216979</v>
      </c>
      <c r="DE111" s="42"/>
      <c r="DF111" s="73">
        <v>1888</v>
      </c>
      <c r="DG111" s="73">
        <f t="shared" si="171"/>
        <v>88</v>
      </c>
      <c r="DH111" s="73">
        <f t="shared" si="172"/>
        <v>1.4222222222222223</v>
      </c>
      <c r="DI111" s="73">
        <f t="shared" si="173"/>
        <v>11.2</v>
      </c>
      <c r="DJ111" s="92">
        <v>8</v>
      </c>
      <c r="DK111" s="92">
        <v>6</v>
      </c>
      <c r="DL111" s="92">
        <v>1</v>
      </c>
      <c r="DM111" s="93">
        <f t="shared" si="174"/>
        <v>4.546544884214411</v>
      </c>
      <c r="DN111" s="73">
        <f t="shared" si="204"/>
        <v>1432.318788939664</v>
      </c>
      <c r="DO111" s="42"/>
      <c r="DP111" s="92">
        <v>445</v>
      </c>
      <c r="DQ111" s="73">
        <f t="shared" si="176"/>
        <v>88</v>
      </c>
      <c r="DR111" s="92">
        <f t="shared" si="177"/>
        <v>21.333333333333332</v>
      </c>
      <c r="DS111" s="73">
        <f t="shared" si="178"/>
        <v>11.2</v>
      </c>
      <c r="DT111" s="92">
        <v>8</v>
      </c>
      <c r="DU111" s="92">
        <v>6</v>
      </c>
      <c r="DV111" s="92">
        <v>1</v>
      </c>
      <c r="DW111" s="93">
        <f t="shared" si="179"/>
        <v>43.34212840809146</v>
      </c>
      <c r="DX111" s="92">
        <f t="shared" si="180"/>
        <v>5770.718914590912</v>
      </c>
      <c r="DY111" s="42"/>
      <c r="DZ111" s="73">
        <v>587</v>
      </c>
      <c r="EA111" s="92">
        <f t="shared" si="181"/>
        <v>88</v>
      </c>
      <c r="EB111" s="92">
        <f t="shared" si="182"/>
        <v>1.4222222222222223</v>
      </c>
      <c r="EC111" s="92">
        <f t="shared" si="183"/>
        <v>11.2</v>
      </c>
      <c r="ED111" s="92">
        <v>8</v>
      </c>
      <c r="EE111" s="92">
        <v>6</v>
      </c>
      <c r="EF111" s="92">
        <v>1</v>
      </c>
      <c r="EG111" s="93">
        <f t="shared" si="184"/>
        <v>4.546544884214411</v>
      </c>
      <c r="EH111" s="92">
        <f t="shared" si="185"/>
        <v>1373.1677286644947</v>
      </c>
      <c r="EI111" s="42"/>
      <c r="EJ111" s="92">
        <v>450</v>
      </c>
      <c r="EK111" s="73">
        <f t="shared" si="193"/>
        <v>3.6666666666666665</v>
      </c>
      <c r="EL111" s="73">
        <f t="shared" si="194"/>
        <v>1.4222222222222223</v>
      </c>
      <c r="EM111" s="73">
        <f t="shared" si="195"/>
        <v>4.4799999999999995</v>
      </c>
      <c r="EN111" s="92">
        <v>8</v>
      </c>
      <c r="EO111" s="92">
        <v>6</v>
      </c>
      <c r="EP111" s="92">
        <v>1</v>
      </c>
      <c r="EQ111" s="93">
        <f t="shared" si="186"/>
        <v>3.0194228294834877</v>
      </c>
      <c r="ER111" s="73">
        <f t="shared" si="211"/>
        <v>1435.9279362426707</v>
      </c>
      <c r="ES111" s="42"/>
      <c r="ET111" s="142">
        <v>0</v>
      </c>
      <c r="EU111" s="142">
        <v>0</v>
      </c>
      <c r="EV111" s="142">
        <v>6</v>
      </c>
      <c r="EW111" s="142">
        <v>39.8</v>
      </c>
      <c r="EX111" s="142">
        <v>0</v>
      </c>
      <c r="EY111" s="142">
        <v>0</v>
      </c>
      <c r="EZ111" s="142">
        <v>0</v>
      </c>
      <c r="FA111" s="142">
        <v>4.8</v>
      </c>
      <c r="FB111" s="142">
        <v>49.4</v>
      </c>
      <c r="FC111" s="92">
        <f t="shared" si="188"/>
        <v>1466.6836692054796</v>
      </c>
      <c r="FE111" s="142">
        <v>611</v>
      </c>
      <c r="FF111" s="167">
        <f t="shared" si="196"/>
        <v>88</v>
      </c>
      <c r="FG111" s="167">
        <f t="shared" si="197"/>
        <v>1.4222222222222223</v>
      </c>
      <c r="FH111" s="167">
        <f t="shared" si="199"/>
        <v>11.2</v>
      </c>
      <c r="FI111" s="167">
        <v>8</v>
      </c>
      <c r="FJ111" s="167">
        <v>6</v>
      </c>
      <c r="FK111" s="142">
        <v>1</v>
      </c>
      <c r="FL111" s="142">
        <f t="shared" si="198"/>
        <v>4.546544884214411</v>
      </c>
      <c r="FM111" s="142">
        <f t="shared" si="207"/>
        <v>1250.299843158963</v>
      </c>
    </row>
    <row r="112" spans="1:169" s="4" customFormat="1" ht="17.25">
      <c r="A112" s="105">
        <v>105</v>
      </c>
      <c r="B112" s="94" t="s">
        <v>484</v>
      </c>
      <c r="C112" s="75">
        <v>1</v>
      </c>
      <c r="D112" s="94">
        <v>2</v>
      </c>
      <c r="E112" s="75">
        <v>450</v>
      </c>
      <c r="F112" s="75">
        <v>800</v>
      </c>
      <c r="G112" s="75">
        <v>900</v>
      </c>
      <c r="H112" s="94">
        <v>128</v>
      </c>
      <c r="I112" s="72">
        <f t="shared" si="222"/>
        <v>8</v>
      </c>
      <c r="J112" s="94">
        <v>8</v>
      </c>
      <c r="K112" s="94">
        <v>4</v>
      </c>
      <c r="L112" s="100" t="s">
        <v>30</v>
      </c>
      <c r="M112" s="94">
        <v>16</v>
      </c>
      <c r="N112" s="100" t="s">
        <v>30</v>
      </c>
      <c r="O112" s="94" t="s">
        <v>21</v>
      </c>
      <c r="P112" s="77">
        <f t="shared" si="213"/>
        <v>33.40086490048385</v>
      </c>
      <c r="Q112" s="78">
        <f t="shared" si="200"/>
        <v>433.4683351779141</v>
      </c>
      <c r="R112" s="78">
        <f t="shared" si="191"/>
        <v>357.7336758603168</v>
      </c>
      <c r="S112" s="89">
        <v>256</v>
      </c>
      <c r="T112" s="102">
        <v>15</v>
      </c>
      <c r="U112" s="102">
        <v>30</v>
      </c>
      <c r="V112" s="94" t="s">
        <v>55</v>
      </c>
      <c r="W112" s="94" t="s">
        <v>27</v>
      </c>
      <c r="X112" s="94" t="s">
        <v>28</v>
      </c>
      <c r="Y112" s="94" t="s">
        <v>23</v>
      </c>
      <c r="Z112" s="95">
        <v>6.6</v>
      </c>
      <c r="AA112" s="124" t="s">
        <v>559</v>
      </c>
      <c r="AB112" s="94">
        <v>10</v>
      </c>
      <c r="AC112" s="96">
        <v>2</v>
      </c>
      <c r="AD112" s="97">
        <v>122</v>
      </c>
      <c r="AE112" s="98">
        <f>210*C112</f>
        <v>210</v>
      </c>
      <c r="AF112" s="99">
        <v>80</v>
      </c>
      <c r="AG112" s="94"/>
      <c r="AH112" s="91"/>
      <c r="AI112" s="87">
        <f t="shared" si="214"/>
        <v>3.6</v>
      </c>
      <c r="AJ112" s="91">
        <f t="shared" si="215"/>
        <v>3.6</v>
      </c>
      <c r="AK112" s="91">
        <f t="shared" si="216"/>
        <v>1.8</v>
      </c>
      <c r="AL112" s="87">
        <f t="shared" si="139"/>
        <v>4.8</v>
      </c>
      <c r="AM112" s="92">
        <f t="shared" si="189"/>
        <v>13.128205128205128</v>
      </c>
      <c r="AN112" s="92">
        <f t="shared" si="210"/>
        <v>1</v>
      </c>
      <c r="AO112" s="87">
        <v>2</v>
      </c>
      <c r="AP112" s="87">
        <v>1</v>
      </c>
      <c r="AQ112" s="87">
        <v>1</v>
      </c>
      <c r="AR112" s="87">
        <v>5</v>
      </c>
      <c r="AS112" s="87">
        <v>5</v>
      </c>
      <c r="AT112" s="87">
        <v>1</v>
      </c>
      <c r="AU112" s="87">
        <v>1.3</v>
      </c>
      <c r="AV112" s="87">
        <v>1</v>
      </c>
      <c r="AW112" s="87">
        <f t="shared" si="217"/>
        <v>3.6</v>
      </c>
      <c r="AX112" s="87">
        <f t="shared" si="218"/>
        <v>3.085714285714286</v>
      </c>
      <c r="AY112" s="91">
        <f t="shared" si="219"/>
        <v>4.393220338983051</v>
      </c>
      <c r="AZ112" s="91">
        <f t="shared" si="220"/>
        <v>7.041242516627664</v>
      </c>
      <c r="BA112" s="91"/>
      <c r="BB112" s="73">
        <v>0.02</v>
      </c>
      <c r="BC112" s="73">
        <f t="shared" si="221"/>
        <v>6.900417666295111</v>
      </c>
      <c r="BD112" s="73">
        <v>4.840412061378459</v>
      </c>
      <c r="BE112" s="87">
        <v>5.7504095289176105</v>
      </c>
      <c r="BF112" s="42"/>
      <c r="BG112" s="42"/>
      <c r="BH112" s="92">
        <v>548</v>
      </c>
      <c r="BI112" s="92">
        <f t="shared" si="147"/>
        <v>36</v>
      </c>
      <c r="BJ112" s="92">
        <f t="shared" si="148"/>
        <v>0.4</v>
      </c>
      <c r="BK112" s="87">
        <f t="shared" si="149"/>
        <v>6.564102564102564</v>
      </c>
      <c r="BL112" s="87">
        <v>8</v>
      </c>
      <c r="BM112" s="87">
        <v>6</v>
      </c>
      <c r="BN112" s="87">
        <v>1</v>
      </c>
      <c r="BO112" s="93">
        <f t="shared" si="150"/>
        <v>1.300849730401152</v>
      </c>
      <c r="BP112" s="92">
        <f t="shared" si="151"/>
        <v>252.41717549040874</v>
      </c>
      <c r="BQ112" s="42"/>
      <c r="BR112" s="92">
        <v>375</v>
      </c>
      <c r="BS112" s="92">
        <f t="shared" si="152"/>
        <v>36</v>
      </c>
      <c r="BT112" s="92">
        <f t="shared" si="153"/>
        <v>0.4</v>
      </c>
      <c r="BU112" s="92">
        <f t="shared" si="154"/>
        <v>6.564102564102564</v>
      </c>
      <c r="BV112" s="92">
        <v>8</v>
      </c>
      <c r="BW112" s="92">
        <v>6</v>
      </c>
      <c r="BX112" s="92">
        <v>1</v>
      </c>
      <c r="BY112" s="93">
        <f t="shared" si="155"/>
        <v>1.300849730401152</v>
      </c>
      <c r="BZ112" s="73">
        <f t="shared" si="156"/>
        <v>376.2555007133115</v>
      </c>
      <c r="CA112" s="42"/>
      <c r="CB112" s="92">
        <v>783</v>
      </c>
      <c r="CC112" s="92">
        <f t="shared" si="157"/>
        <v>36</v>
      </c>
      <c r="CD112" s="92">
        <f t="shared" si="158"/>
        <v>0.4</v>
      </c>
      <c r="CE112" s="92">
        <f t="shared" si="159"/>
        <v>6.564102564102564</v>
      </c>
      <c r="CF112" s="92">
        <v>8</v>
      </c>
      <c r="CG112" s="92">
        <v>6</v>
      </c>
      <c r="CH112" s="92">
        <v>4</v>
      </c>
      <c r="CI112" s="93">
        <f t="shared" si="160"/>
        <v>1.2632964140804914</v>
      </c>
      <c r="CJ112" s="73">
        <f t="shared" si="161"/>
        <v>383.4438541423167</v>
      </c>
      <c r="CK112" s="42"/>
      <c r="CL112" s="92">
        <v>353</v>
      </c>
      <c r="CM112" s="92">
        <f t="shared" si="162"/>
        <v>36</v>
      </c>
      <c r="CN112" s="92">
        <f t="shared" si="163"/>
        <v>0.4</v>
      </c>
      <c r="CO112" s="92">
        <f t="shared" si="164"/>
        <v>6.564102564102564</v>
      </c>
      <c r="CP112" s="92">
        <v>8</v>
      </c>
      <c r="CQ112" s="92">
        <v>6</v>
      </c>
      <c r="CR112" s="92">
        <v>1</v>
      </c>
      <c r="CS112" s="93">
        <f t="shared" si="165"/>
        <v>1.300849730401152</v>
      </c>
      <c r="CT112" s="73">
        <f t="shared" si="202"/>
        <v>471.078389675462</v>
      </c>
      <c r="CU112" s="42"/>
      <c r="CV112" s="92">
        <v>472</v>
      </c>
      <c r="CW112" s="92">
        <f t="shared" si="167"/>
        <v>36</v>
      </c>
      <c r="CX112" s="92">
        <f t="shared" si="168"/>
        <v>0.4</v>
      </c>
      <c r="CY112" s="92">
        <f t="shared" si="192"/>
        <v>6.564102564102564</v>
      </c>
      <c r="CZ112" s="92">
        <v>8</v>
      </c>
      <c r="DA112" s="92">
        <v>6</v>
      </c>
      <c r="DB112" s="92">
        <v>1</v>
      </c>
      <c r="DC112" s="93">
        <f t="shared" si="169"/>
        <v>1.300849730401152</v>
      </c>
      <c r="DD112" s="73">
        <f t="shared" si="203"/>
        <v>435.36390558922596</v>
      </c>
      <c r="DE112" s="42"/>
      <c r="DF112" s="73">
        <v>1888</v>
      </c>
      <c r="DG112" s="73">
        <f t="shared" si="171"/>
        <v>36</v>
      </c>
      <c r="DH112" s="73">
        <f t="shared" si="172"/>
        <v>0.4</v>
      </c>
      <c r="DI112" s="73">
        <f t="shared" si="173"/>
        <v>6.564102564102564</v>
      </c>
      <c r="DJ112" s="92">
        <v>8</v>
      </c>
      <c r="DK112" s="92">
        <v>6</v>
      </c>
      <c r="DL112" s="92">
        <v>1</v>
      </c>
      <c r="DM112" s="93">
        <f t="shared" si="174"/>
        <v>1.300849730401152</v>
      </c>
      <c r="DN112" s="73">
        <f t="shared" si="204"/>
        <v>441.7663159655381</v>
      </c>
      <c r="DO112" s="42"/>
      <c r="DP112" s="92">
        <v>445</v>
      </c>
      <c r="DQ112" s="73">
        <f t="shared" si="176"/>
        <v>36</v>
      </c>
      <c r="DR112" s="92">
        <f t="shared" si="177"/>
        <v>6.75</v>
      </c>
      <c r="DS112" s="73">
        <f t="shared" si="178"/>
        <v>6.564102564102564</v>
      </c>
      <c r="DT112" s="92">
        <v>8</v>
      </c>
      <c r="DU112" s="92">
        <v>6</v>
      </c>
      <c r="DV112" s="92">
        <v>1</v>
      </c>
      <c r="DW112" s="93">
        <f t="shared" si="179"/>
        <v>15.829611817244933</v>
      </c>
      <c r="DX112" s="92">
        <f t="shared" si="180"/>
        <v>2284.4683676181285</v>
      </c>
      <c r="DY112" s="42"/>
      <c r="DZ112" s="73">
        <v>587</v>
      </c>
      <c r="EA112" s="92">
        <f t="shared" si="181"/>
        <v>36</v>
      </c>
      <c r="EB112" s="92">
        <f t="shared" si="182"/>
        <v>0.4</v>
      </c>
      <c r="EC112" s="92">
        <f t="shared" si="183"/>
        <v>6.564102564102564</v>
      </c>
      <c r="ED112" s="92">
        <v>8</v>
      </c>
      <c r="EE112" s="92">
        <v>6</v>
      </c>
      <c r="EF112" s="92">
        <v>1</v>
      </c>
      <c r="EG112" s="93">
        <f t="shared" si="184"/>
        <v>1.300849730401152</v>
      </c>
      <c r="EH112" s="92">
        <f t="shared" si="185"/>
        <v>369.0596106106048</v>
      </c>
      <c r="EI112" s="42"/>
      <c r="EJ112" s="92">
        <v>450</v>
      </c>
      <c r="EK112" s="73">
        <f t="shared" si="193"/>
        <v>1.5</v>
      </c>
      <c r="EL112" s="73">
        <f t="shared" si="194"/>
        <v>0.4</v>
      </c>
      <c r="EM112" s="73">
        <f t="shared" si="195"/>
        <v>2.6256410256410256</v>
      </c>
      <c r="EN112" s="92">
        <v>8</v>
      </c>
      <c r="EO112" s="92">
        <v>6</v>
      </c>
      <c r="EP112" s="92">
        <v>1</v>
      </c>
      <c r="EQ112" s="93">
        <f t="shared" si="186"/>
        <v>0.9655215765156993</v>
      </c>
      <c r="ER112" s="73">
        <f t="shared" si="211"/>
        <v>433.723143097297</v>
      </c>
      <c r="ES112" s="42"/>
      <c r="ET112" s="142">
        <v>0</v>
      </c>
      <c r="EU112" s="142">
        <v>0</v>
      </c>
      <c r="EV112" s="142">
        <v>6</v>
      </c>
      <c r="EW112" s="142">
        <v>39.8</v>
      </c>
      <c r="EX112" s="142">
        <v>0</v>
      </c>
      <c r="EY112" s="142">
        <v>0</v>
      </c>
      <c r="EZ112" s="142">
        <v>0</v>
      </c>
      <c r="FA112" s="142">
        <v>4.8</v>
      </c>
      <c r="FB112" s="142">
        <v>49.4</v>
      </c>
      <c r="FC112" s="92">
        <f t="shared" si="188"/>
        <v>433.4683351779141</v>
      </c>
      <c r="FE112" s="142">
        <v>611</v>
      </c>
      <c r="FF112" s="167">
        <f t="shared" si="196"/>
        <v>36</v>
      </c>
      <c r="FG112" s="167">
        <f t="shared" si="197"/>
        <v>0.4</v>
      </c>
      <c r="FH112" s="167">
        <f t="shared" si="199"/>
        <v>6.564102564102564</v>
      </c>
      <c r="FI112" s="167">
        <v>8</v>
      </c>
      <c r="FJ112" s="167">
        <v>6</v>
      </c>
      <c r="FK112" s="142">
        <v>1</v>
      </c>
      <c r="FL112" s="142">
        <f t="shared" si="198"/>
        <v>1.300849730401152</v>
      </c>
      <c r="FM112" s="142">
        <f t="shared" si="207"/>
        <v>357.7336758603168</v>
      </c>
    </row>
    <row r="113" spans="1:169" s="4" customFormat="1" ht="17.25">
      <c r="A113" s="105">
        <v>106</v>
      </c>
      <c r="B113" s="94" t="s">
        <v>100</v>
      </c>
      <c r="C113" s="75">
        <v>1</v>
      </c>
      <c r="D113" s="94">
        <v>2</v>
      </c>
      <c r="E113" s="75">
        <v>450</v>
      </c>
      <c r="F113" s="75">
        <v>800</v>
      </c>
      <c r="G113" s="75">
        <v>900</v>
      </c>
      <c r="H113" s="94">
        <v>128</v>
      </c>
      <c r="I113" s="72">
        <f t="shared" si="222"/>
        <v>8</v>
      </c>
      <c r="J113" s="94">
        <v>8</v>
      </c>
      <c r="K113" s="94">
        <v>4</v>
      </c>
      <c r="L113" s="100" t="s">
        <v>30</v>
      </c>
      <c r="M113" s="94">
        <v>16</v>
      </c>
      <c r="N113" s="100" t="s">
        <v>30</v>
      </c>
      <c r="O113" s="94" t="s">
        <v>21</v>
      </c>
      <c r="P113" s="77">
        <f t="shared" si="213"/>
        <v>33.40086490048385</v>
      </c>
      <c r="Q113" s="78">
        <f t="shared" si="200"/>
        <v>433.4683351779141</v>
      </c>
      <c r="R113" s="78">
        <f t="shared" si="191"/>
        <v>357.7336758603168</v>
      </c>
      <c r="S113" s="89">
        <v>256</v>
      </c>
      <c r="T113" s="102" t="s">
        <v>47</v>
      </c>
      <c r="U113" s="102" t="s">
        <v>485</v>
      </c>
      <c r="V113" s="94" t="s">
        <v>55</v>
      </c>
      <c r="W113" s="94" t="s">
        <v>27</v>
      </c>
      <c r="X113" s="94" t="s">
        <v>28</v>
      </c>
      <c r="Y113" s="94" t="s">
        <v>23</v>
      </c>
      <c r="Z113" s="95">
        <v>6.6</v>
      </c>
      <c r="AA113" s="124" t="s">
        <v>559</v>
      </c>
      <c r="AB113" s="94">
        <v>10</v>
      </c>
      <c r="AC113" s="96">
        <v>2</v>
      </c>
      <c r="AD113" s="97">
        <v>86</v>
      </c>
      <c r="AE113" s="98">
        <f>210*C113</f>
        <v>210</v>
      </c>
      <c r="AF113" s="99">
        <v>65</v>
      </c>
      <c r="AG113" s="94"/>
      <c r="AH113" s="42"/>
      <c r="AI113" s="73">
        <f t="shared" si="214"/>
        <v>3.6</v>
      </c>
      <c r="AJ113" s="42">
        <f t="shared" si="215"/>
        <v>3.6</v>
      </c>
      <c r="AK113" s="42">
        <f t="shared" si="216"/>
        <v>1.8</v>
      </c>
      <c r="AL113" s="73">
        <f t="shared" si="139"/>
        <v>4.8</v>
      </c>
      <c r="AM113" s="92">
        <f t="shared" si="189"/>
        <v>13.128205128205128</v>
      </c>
      <c r="AN113" s="92">
        <f t="shared" si="210"/>
        <v>1</v>
      </c>
      <c r="AO113" s="73">
        <v>2</v>
      </c>
      <c r="AP113" s="73">
        <v>1</v>
      </c>
      <c r="AQ113" s="73">
        <v>1</v>
      </c>
      <c r="AR113" s="87">
        <v>5</v>
      </c>
      <c r="AS113" s="87">
        <v>5</v>
      </c>
      <c r="AT113" s="73">
        <v>1</v>
      </c>
      <c r="AU113" s="73">
        <v>1.3</v>
      </c>
      <c r="AV113" s="73">
        <v>1</v>
      </c>
      <c r="AW113" s="73">
        <f t="shared" si="217"/>
        <v>3.6</v>
      </c>
      <c r="AX113" s="73">
        <f t="shared" si="218"/>
        <v>3.085714285714286</v>
      </c>
      <c r="AY113" s="42">
        <f t="shared" si="219"/>
        <v>4.393220338983051</v>
      </c>
      <c r="AZ113" s="42">
        <f t="shared" si="220"/>
        <v>7.041242516627664</v>
      </c>
      <c r="BA113" s="42"/>
      <c r="BB113" s="73">
        <v>0.02</v>
      </c>
      <c r="BC113" s="73">
        <f t="shared" si="221"/>
        <v>6.900417666295111</v>
      </c>
      <c r="BD113" s="73">
        <v>4.840412061378459</v>
      </c>
      <c r="BE113" s="87">
        <v>5.7504095289176105</v>
      </c>
      <c r="BF113" s="42"/>
      <c r="BG113" s="42"/>
      <c r="BH113" s="92">
        <v>548</v>
      </c>
      <c r="BI113" s="92">
        <f t="shared" si="147"/>
        <v>36</v>
      </c>
      <c r="BJ113" s="92">
        <f t="shared" si="148"/>
        <v>0.4</v>
      </c>
      <c r="BK113" s="87">
        <f t="shared" si="149"/>
        <v>6.564102564102564</v>
      </c>
      <c r="BL113" s="87">
        <v>8</v>
      </c>
      <c r="BM113" s="87">
        <v>6</v>
      </c>
      <c r="BN113" s="87">
        <v>1</v>
      </c>
      <c r="BO113" s="93">
        <f t="shared" si="150"/>
        <v>1.300849730401152</v>
      </c>
      <c r="BP113" s="92">
        <f t="shared" si="151"/>
        <v>252.41717549040874</v>
      </c>
      <c r="BQ113" s="42"/>
      <c r="BR113" s="92">
        <v>375</v>
      </c>
      <c r="BS113" s="92">
        <f t="shared" si="152"/>
        <v>36</v>
      </c>
      <c r="BT113" s="92">
        <f t="shared" si="153"/>
        <v>0.4</v>
      </c>
      <c r="BU113" s="92">
        <f t="shared" si="154"/>
        <v>6.564102564102564</v>
      </c>
      <c r="BV113" s="92">
        <v>8</v>
      </c>
      <c r="BW113" s="92">
        <v>6</v>
      </c>
      <c r="BX113" s="92">
        <v>1</v>
      </c>
      <c r="BY113" s="93">
        <f t="shared" si="155"/>
        <v>1.300849730401152</v>
      </c>
      <c r="BZ113" s="73">
        <f t="shared" si="156"/>
        <v>376.2555007133115</v>
      </c>
      <c r="CA113" s="42"/>
      <c r="CB113" s="92">
        <v>783</v>
      </c>
      <c r="CC113" s="92">
        <f t="shared" si="157"/>
        <v>36</v>
      </c>
      <c r="CD113" s="92">
        <f t="shared" si="158"/>
        <v>0.4</v>
      </c>
      <c r="CE113" s="92">
        <f t="shared" si="159"/>
        <v>6.564102564102564</v>
      </c>
      <c r="CF113" s="92">
        <v>8</v>
      </c>
      <c r="CG113" s="92">
        <v>6</v>
      </c>
      <c r="CH113" s="92">
        <v>4</v>
      </c>
      <c r="CI113" s="93">
        <f t="shared" si="160"/>
        <v>1.2632964140804914</v>
      </c>
      <c r="CJ113" s="73">
        <f t="shared" si="161"/>
        <v>383.4438541423167</v>
      </c>
      <c r="CK113" s="42"/>
      <c r="CL113" s="92">
        <v>353</v>
      </c>
      <c r="CM113" s="92">
        <f t="shared" si="162"/>
        <v>36</v>
      </c>
      <c r="CN113" s="92">
        <f t="shared" si="163"/>
        <v>0.4</v>
      </c>
      <c r="CO113" s="92">
        <f t="shared" si="164"/>
        <v>6.564102564102564</v>
      </c>
      <c r="CP113" s="92">
        <v>8</v>
      </c>
      <c r="CQ113" s="92">
        <v>6</v>
      </c>
      <c r="CR113" s="92">
        <v>1</v>
      </c>
      <c r="CS113" s="93">
        <f t="shared" si="165"/>
        <v>1.300849730401152</v>
      </c>
      <c r="CT113" s="73">
        <f t="shared" si="202"/>
        <v>471.078389675462</v>
      </c>
      <c r="CU113" s="42"/>
      <c r="CV113" s="92">
        <v>472</v>
      </c>
      <c r="CW113" s="92">
        <f t="shared" si="167"/>
        <v>36</v>
      </c>
      <c r="CX113" s="92">
        <f t="shared" si="168"/>
        <v>0.4</v>
      </c>
      <c r="CY113" s="92">
        <f t="shared" si="192"/>
        <v>6.564102564102564</v>
      </c>
      <c r="CZ113" s="92">
        <v>8</v>
      </c>
      <c r="DA113" s="92">
        <v>6</v>
      </c>
      <c r="DB113" s="92">
        <v>1</v>
      </c>
      <c r="DC113" s="93">
        <f t="shared" si="169"/>
        <v>1.300849730401152</v>
      </c>
      <c r="DD113" s="73">
        <f t="shared" si="203"/>
        <v>435.36390558922596</v>
      </c>
      <c r="DE113" s="42"/>
      <c r="DF113" s="73">
        <v>1888</v>
      </c>
      <c r="DG113" s="73">
        <f t="shared" si="171"/>
        <v>36</v>
      </c>
      <c r="DH113" s="73">
        <f t="shared" si="172"/>
        <v>0.4</v>
      </c>
      <c r="DI113" s="73">
        <f t="shared" si="173"/>
        <v>6.564102564102564</v>
      </c>
      <c r="DJ113" s="92">
        <v>8</v>
      </c>
      <c r="DK113" s="92">
        <v>6</v>
      </c>
      <c r="DL113" s="92">
        <v>1</v>
      </c>
      <c r="DM113" s="93">
        <f t="shared" si="174"/>
        <v>1.300849730401152</v>
      </c>
      <c r="DN113" s="73">
        <f t="shared" si="204"/>
        <v>441.7663159655381</v>
      </c>
      <c r="DO113" s="42"/>
      <c r="DP113" s="92">
        <v>445</v>
      </c>
      <c r="DQ113" s="73">
        <f t="shared" si="176"/>
        <v>36</v>
      </c>
      <c r="DR113" s="92">
        <f t="shared" si="177"/>
        <v>6.75</v>
      </c>
      <c r="DS113" s="73">
        <f t="shared" si="178"/>
        <v>6.564102564102564</v>
      </c>
      <c r="DT113" s="92">
        <v>8</v>
      </c>
      <c r="DU113" s="92">
        <v>6</v>
      </c>
      <c r="DV113" s="92">
        <v>1</v>
      </c>
      <c r="DW113" s="93">
        <f t="shared" si="179"/>
        <v>15.829611817244933</v>
      </c>
      <c r="DX113" s="92">
        <f t="shared" si="180"/>
        <v>2284.4683676181285</v>
      </c>
      <c r="DY113" s="42"/>
      <c r="DZ113" s="73">
        <v>587</v>
      </c>
      <c r="EA113" s="92">
        <f t="shared" si="181"/>
        <v>36</v>
      </c>
      <c r="EB113" s="92">
        <f t="shared" si="182"/>
        <v>0.4</v>
      </c>
      <c r="EC113" s="92">
        <f t="shared" si="183"/>
        <v>6.564102564102564</v>
      </c>
      <c r="ED113" s="92">
        <v>8</v>
      </c>
      <c r="EE113" s="92">
        <v>6</v>
      </c>
      <c r="EF113" s="92">
        <v>1</v>
      </c>
      <c r="EG113" s="93">
        <f t="shared" si="184"/>
        <v>1.300849730401152</v>
      </c>
      <c r="EH113" s="92">
        <f t="shared" si="185"/>
        <v>369.0596106106048</v>
      </c>
      <c r="EI113" s="42"/>
      <c r="EJ113" s="92">
        <v>450</v>
      </c>
      <c r="EK113" s="73">
        <f t="shared" si="193"/>
        <v>1.5</v>
      </c>
      <c r="EL113" s="73">
        <f t="shared" si="194"/>
        <v>0.4</v>
      </c>
      <c r="EM113" s="73">
        <f t="shared" si="195"/>
        <v>2.6256410256410256</v>
      </c>
      <c r="EN113" s="92">
        <v>8</v>
      </c>
      <c r="EO113" s="92">
        <v>6</v>
      </c>
      <c r="EP113" s="92">
        <v>1</v>
      </c>
      <c r="EQ113" s="93">
        <f t="shared" si="186"/>
        <v>0.9655215765156993</v>
      </c>
      <c r="ER113" s="73">
        <f t="shared" si="211"/>
        <v>433.723143097297</v>
      </c>
      <c r="ES113" s="42"/>
      <c r="ET113" s="142">
        <v>0</v>
      </c>
      <c r="EU113" s="142">
        <v>0</v>
      </c>
      <c r="EV113" s="142">
        <v>6</v>
      </c>
      <c r="EW113" s="142">
        <v>39.8</v>
      </c>
      <c r="EX113" s="142">
        <v>0</v>
      </c>
      <c r="EY113" s="142">
        <v>0</v>
      </c>
      <c r="EZ113" s="142">
        <v>0</v>
      </c>
      <c r="FA113" s="142">
        <v>4.8</v>
      </c>
      <c r="FB113" s="142">
        <v>49.4</v>
      </c>
      <c r="FC113" s="92">
        <f t="shared" si="188"/>
        <v>433.4683351779141</v>
      </c>
      <c r="FE113" s="142">
        <v>611</v>
      </c>
      <c r="FF113" s="167">
        <f t="shared" si="196"/>
        <v>36</v>
      </c>
      <c r="FG113" s="167">
        <f t="shared" si="197"/>
        <v>0.4</v>
      </c>
      <c r="FH113" s="167">
        <f t="shared" si="199"/>
        <v>6.564102564102564</v>
      </c>
      <c r="FI113" s="167">
        <v>8</v>
      </c>
      <c r="FJ113" s="167">
        <v>6</v>
      </c>
      <c r="FK113" s="142">
        <v>1</v>
      </c>
      <c r="FL113" s="142">
        <f t="shared" si="198"/>
        <v>1.300849730401152</v>
      </c>
      <c r="FM113" s="142">
        <f t="shared" si="207"/>
        <v>357.7336758603168</v>
      </c>
    </row>
    <row r="114" spans="1:169" s="4" customFormat="1" ht="17.25">
      <c r="A114" s="105">
        <v>107</v>
      </c>
      <c r="B114" s="94" t="s">
        <v>486</v>
      </c>
      <c r="C114" s="75">
        <v>1</v>
      </c>
      <c r="D114" s="94">
        <v>2</v>
      </c>
      <c r="E114" s="75">
        <v>450</v>
      </c>
      <c r="F114" s="75">
        <v>800</v>
      </c>
      <c r="G114" s="75">
        <v>900</v>
      </c>
      <c r="H114" s="94">
        <v>64</v>
      </c>
      <c r="I114" s="72">
        <f t="shared" si="222"/>
        <v>8</v>
      </c>
      <c r="J114" s="94">
        <v>8</v>
      </c>
      <c r="K114" s="94">
        <v>4</v>
      </c>
      <c r="L114" s="100" t="s">
        <v>30</v>
      </c>
      <c r="M114" s="94">
        <v>16</v>
      </c>
      <c r="N114" s="100" t="s">
        <v>30</v>
      </c>
      <c r="O114" s="94" t="s">
        <v>21</v>
      </c>
      <c r="P114" s="77">
        <f t="shared" si="213"/>
        <v>25.63084145532218</v>
      </c>
      <c r="Q114" s="78">
        <f t="shared" si="200"/>
        <v>425.6671020500327</v>
      </c>
      <c r="R114" s="78">
        <f t="shared" si="191"/>
        <v>354.22373791021414</v>
      </c>
      <c r="S114" s="89">
        <v>256</v>
      </c>
      <c r="T114" s="102">
        <v>15</v>
      </c>
      <c r="U114" s="102">
        <v>30</v>
      </c>
      <c r="V114" s="94" t="s">
        <v>55</v>
      </c>
      <c r="W114" s="94" t="s">
        <v>27</v>
      </c>
      <c r="X114" s="94" t="s">
        <v>28</v>
      </c>
      <c r="Y114" s="94" t="s">
        <v>23</v>
      </c>
      <c r="Z114" s="95">
        <v>6.6</v>
      </c>
      <c r="AA114" s="123" t="s">
        <v>556</v>
      </c>
      <c r="AB114" s="94">
        <v>10</v>
      </c>
      <c r="AC114" s="96">
        <v>2</v>
      </c>
      <c r="AD114" s="97">
        <v>122</v>
      </c>
      <c r="AE114" s="98">
        <f>210*C114</f>
        <v>210</v>
      </c>
      <c r="AF114" s="99">
        <v>80</v>
      </c>
      <c r="AG114" s="94"/>
      <c r="AH114" s="91"/>
      <c r="AI114" s="87">
        <f t="shared" si="214"/>
        <v>3.6</v>
      </c>
      <c r="AJ114" s="91">
        <f t="shared" si="215"/>
        <v>3.6</v>
      </c>
      <c r="AK114" s="91">
        <f t="shared" si="216"/>
        <v>1.8</v>
      </c>
      <c r="AL114" s="87">
        <f t="shared" si="139"/>
        <v>4.8</v>
      </c>
      <c r="AM114" s="92">
        <f t="shared" si="189"/>
        <v>6.564102564102564</v>
      </c>
      <c r="AN114" s="92">
        <f t="shared" si="210"/>
        <v>1</v>
      </c>
      <c r="AO114" s="87">
        <v>2</v>
      </c>
      <c r="AP114" s="87">
        <v>1</v>
      </c>
      <c r="AQ114" s="87">
        <v>1</v>
      </c>
      <c r="AR114" s="87">
        <v>5</v>
      </c>
      <c r="AS114" s="87">
        <v>5</v>
      </c>
      <c r="AT114" s="87">
        <v>1</v>
      </c>
      <c r="AU114" s="87">
        <v>1.3</v>
      </c>
      <c r="AV114" s="87">
        <v>1</v>
      </c>
      <c r="AW114" s="87">
        <f t="shared" si="217"/>
        <v>3.6</v>
      </c>
      <c r="AX114" s="87">
        <f t="shared" si="218"/>
        <v>3.085714285714286</v>
      </c>
      <c r="AY114" s="91">
        <f t="shared" si="219"/>
        <v>4.393220338983051</v>
      </c>
      <c r="AZ114" s="91">
        <f t="shared" si="220"/>
        <v>5.403242434885063</v>
      </c>
      <c r="BA114" s="91"/>
      <c r="BB114" s="73">
        <v>0.02</v>
      </c>
      <c r="BC114" s="73">
        <f t="shared" si="221"/>
        <v>5.295177586187362</v>
      </c>
      <c r="BD114" s="73">
        <v>4.840412061378459</v>
      </c>
      <c r="BE114" s="87">
        <v>5.7504095289176105</v>
      </c>
      <c r="BF114" s="42"/>
      <c r="BG114" s="42"/>
      <c r="BH114" s="92">
        <v>548</v>
      </c>
      <c r="BI114" s="92">
        <f t="shared" si="147"/>
        <v>36</v>
      </c>
      <c r="BJ114" s="92">
        <f t="shared" si="148"/>
        <v>0.4</v>
      </c>
      <c r="BK114" s="87">
        <f t="shared" si="149"/>
        <v>3.282051282051282</v>
      </c>
      <c r="BL114" s="87">
        <v>8</v>
      </c>
      <c r="BM114" s="87">
        <v>6</v>
      </c>
      <c r="BN114" s="87">
        <v>1</v>
      </c>
      <c r="BO114" s="93">
        <f t="shared" si="150"/>
        <v>1.288086319673506</v>
      </c>
      <c r="BP114" s="92">
        <f t="shared" si="151"/>
        <v>249.74348409594498</v>
      </c>
      <c r="BQ114" s="42"/>
      <c r="BR114" s="92">
        <v>375</v>
      </c>
      <c r="BS114" s="92">
        <f t="shared" si="152"/>
        <v>36</v>
      </c>
      <c r="BT114" s="92">
        <f t="shared" si="153"/>
        <v>0.4</v>
      </c>
      <c r="BU114" s="92">
        <f t="shared" si="154"/>
        <v>3.282051282051282</v>
      </c>
      <c r="BV114" s="92">
        <v>8</v>
      </c>
      <c r="BW114" s="92">
        <v>6</v>
      </c>
      <c r="BX114" s="92">
        <v>1</v>
      </c>
      <c r="BY114" s="93">
        <f t="shared" si="155"/>
        <v>1.288086319673506</v>
      </c>
      <c r="BZ114" s="73">
        <f t="shared" si="156"/>
        <v>372.60057089497076</v>
      </c>
      <c r="CA114" s="42"/>
      <c r="CB114" s="92">
        <v>783</v>
      </c>
      <c r="CC114" s="92">
        <f t="shared" si="157"/>
        <v>36</v>
      </c>
      <c r="CD114" s="92">
        <f t="shared" si="158"/>
        <v>0.4</v>
      </c>
      <c r="CE114" s="92">
        <f t="shared" si="159"/>
        <v>3.282051282051282</v>
      </c>
      <c r="CF114" s="92">
        <v>8</v>
      </c>
      <c r="CG114" s="92">
        <v>6</v>
      </c>
      <c r="CH114" s="92">
        <v>4</v>
      </c>
      <c r="CI114" s="93">
        <f t="shared" si="160"/>
        <v>1.2164730728616684</v>
      </c>
      <c r="CJ114" s="73">
        <f t="shared" si="161"/>
        <v>368.53511917064617</v>
      </c>
      <c r="CK114" s="42"/>
      <c r="CL114" s="92">
        <v>353</v>
      </c>
      <c r="CM114" s="92">
        <f t="shared" si="162"/>
        <v>36</v>
      </c>
      <c r="CN114" s="92">
        <f t="shared" si="163"/>
        <v>0.4</v>
      </c>
      <c r="CO114" s="92">
        <f t="shared" si="164"/>
        <v>3.282051282051282</v>
      </c>
      <c r="CP114" s="92">
        <v>8</v>
      </c>
      <c r="CQ114" s="92">
        <v>6</v>
      </c>
      <c r="CR114" s="92">
        <v>1</v>
      </c>
      <c r="CS114" s="93">
        <f t="shared" si="165"/>
        <v>1.288086319673506</v>
      </c>
      <c r="CT114" s="73">
        <f t="shared" si="202"/>
        <v>466.59435813892446</v>
      </c>
      <c r="CU114" s="42"/>
      <c r="CV114" s="92">
        <v>472</v>
      </c>
      <c r="CW114" s="92">
        <f t="shared" si="167"/>
        <v>36</v>
      </c>
      <c r="CX114" s="92">
        <f t="shared" si="168"/>
        <v>0.4</v>
      </c>
      <c r="CY114" s="92">
        <f t="shared" si="192"/>
        <v>3.282051282051282</v>
      </c>
      <c r="CZ114" s="92">
        <v>8</v>
      </c>
      <c r="DA114" s="92">
        <v>6</v>
      </c>
      <c r="DB114" s="92">
        <v>1</v>
      </c>
      <c r="DC114" s="93">
        <f t="shared" si="169"/>
        <v>1.288086319673506</v>
      </c>
      <c r="DD114" s="73">
        <f t="shared" si="203"/>
        <v>431.34740210548335</v>
      </c>
      <c r="DE114" s="42"/>
      <c r="DF114" s="73">
        <v>1888</v>
      </c>
      <c r="DG114" s="73">
        <f t="shared" si="171"/>
        <v>36</v>
      </c>
      <c r="DH114" s="73">
        <f t="shared" si="172"/>
        <v>0.4</v>
      </c>
      <c r="DI114" s="73">
        <f t="shared" si="173"/>
        <v>3.282051282051282</v>
      </c>
      <c r="DJ114" s="92">
        <v>8</v>
      </c>
      <c r="DK114" s="92">
        <v>6</v>
      </c>
      <c r="DL114" s="92">
        <v>1</v>
      </c>
      <c r="DM114" s="93">
        <f t="shared" si="174"/>
        <v>1.288086319673506</v>
      </c>
      <c r="DN114" s="73">
        <f t="shared" si="204"/>
        <v>437.6907462540934</v>
      </c>
      <c r="DO114" s="42"/>
      <c r="DP114" s="92">
        <v>445</v>
      </c>
      <c r="DQ114" s="73">
        <f t="shared" si="176"/>
        <v>36</v>
      </c>
      <c r="DR114" s="92">
        <f t="shared" si="177"/>
        <v>6.75</v>
      </c>
      <c r="DS114" s="73">
        <f t="shared" si="178"/>
        <v>3.282051282051282</v>
      </c>
      <c r="DT114" s="92">
        <v>8</v>
      </c>
      <c r="DU114" s="92">
        <v>6</v>
      </c>
      <c r="DV114" s="92">
        <v>1</v>
      </c>
      <c r="DW114" s="93">
        <f t="shared" si="179"/>
        <v>14.126302881667687</v>
      </c>
      <c r="DX114" s="92">
        <f t="shared" si="180"/>
        <v>2057.305265920648</v>
      </c>
      <c r="DY114" s="42"/>
      <c r="DZ114" s="73">
        <v>587</v>
      </c>
      <c r="EA114" s="92">
        <f t="shared" si="181"/>
        <v>36</v>
      </c>
      <c r="EB114" s="92">
        <f t="shared" si="182"/>
        <v>0.4</v>
      </c>
      <c r="EC114" s="92">
        <f t="shared" si="183"/>
        <v>3.282051282051282</v>
      </c>
      <c r="ED114" s="92">
        <v>8</v>
      </c>
      <c r="EE114" s="92">
        <v>6</v>
      </c>
      <c r="EF114" s="92">
        <v>1</v>
      </c>
      <c r="EG114" s="93">
        <f t="shared" si="184"/>
        <v>1.288086319673506</v>
      </c>
      <c r="EH114" s="92">
        <f t="shared" si="185"/>
        <v>365.2584295361426</v>
      </c>
      <c r="EI114" s="42"/>
      <c r="EJ114" s="92">
        <v>450</v>
      </c>
      <c r="EK114" s="73">
        <f t="shared" si="193"/>
        <v>1.5</v>
      </c>
      <c r="EL114" s="73">
        <f t="shared" si="194"/>
        <v>0.4</v>
      </c>
      <c r="EM114" s="73">
        <f t="shared" si="195"/>
        <v>1.3128205128205128</v>
      </c>
      <c r="EN114" s="92">
        <v>8</v>
      </c>
      <c r="EO114" s="92">
        <v>6</v>
      </c>
      <c r="EP114" s="92">
        <v>1</v>
      </c>
      <c r="EQ114" s="93">
        <f t="shared" si="186"/>
        <v>0.948089624097278</v>
      </c>
      <c r="ER114" s="73">
        <f t="shared" si="211"/>
        <v>425.50471528596364</v>
      </c>
      <c r="ES114" s="42"/>
      <c r="ET114" s="142">
        <v>0</v>
      </c>
      <c r="EU114" s="142">
        <v>0</v>
      </c>
      <c r="EV114" s="142">
        <v>6</v>
      </c>
      <c r="EW114" s="142">
        <v>39.8</v>
      </c>
      <c r="EX114" s="142">
        <v>0</v>
      </c>
      <c r="EY114" s="142">
        <v>0</v>
      </c>
      <c r="EZ114" s="142">
        <v>0</v>
      </c>
      <c r="FA114" s="142">
        <v>4.8</v>
      </c>
      <c r="FB114" s="142">
        <v>49.4</v>
      </c>
      <c r="FC114" s="92">
        <f t="shared" si="188"/>
        <v>425.6671020500327</v>
      </c>
      <c r="FE114" s="142">
        <v>611</v>
      </c>
      <c r="FF114" s="167">
        <f t="shared" si="196"/>
        <v>36</v>
      </c>
      <c r="FG114" s="167">
        <f t="shared" si="197"/>
        <v>0.4</v>
      </c>
      <c r="FH114" s="167">
        <f t="shared" si="199"/>
        <v>3.282051282051282</v>
      </c>
      <c r="FI114" s="167">
        <v>8</v>
      </c>
      <c r="FJ114" s="167">
        <v>6</v>
      </c>
      <c r="FK114" s="142">
        <v>1</v>
      </c>
      <c r="FL114" s="142">
        <f t="shared" si="198"/>
        <v>1.288086319673506</v>
      </c>
      <c r="FM114" s="142">
        <f t="shared" si="207"/>
        <v>354.22373791021414</v>
      </c>
    </row>
    <row r="115" spans="1:169" s="4" customFormat="1" ht="17.25">
      <c r="A115" s="105">
        <v>108</v>
      </c>
      <c r="B115" s="94" t="s">
        <v>487</v>
      </c>
      <c r="C115" s="75">
        <v>1</v>
      </c>
      <c r="D115" s="94">
        <v>2</v>
      </c>
      <c r="E115" s="75">
        <v>567</v>
      </c>
      <c r="F115" s="75">
        <v>1000</v>
      </c>
      <c r="G115" s="75">
        <v>1400</v>
      </c>
      <c r="H115" s="94">
        <v>64</v>
      </c>
      <c r="I115" s="72">
        <f t="shared" si="222"/>
        <v>8</v>
      </c>
      <c r="J115" s="94">
        <v>8</v>
      </c>
      <c r="K115" s="94">
        <v>4</v>
      </c>
      <c r="L115" s="100" t="s">
        <v>30</v>
      </c>
      <c r="M115" s="94">
        <v>16</v>
      </c>
      <c r="N115" s="100" t="s">
        <v>30</v>
      </c>
      <c r="O115" s="94" t="s">
        <v>21</v>
      </c>
      <c r="P115" s="77">
        <f t="shared" si="213"/>
        <v>34.86700189022702</v>
      </c>
      <c r="Q115" s="78">
        <f t="shared" si="200"/>
        <v>642.7909874124784</v>
      </c>
      <c r="R115" s="78">
        <f t="shared" si="191"/>
        <v>546.5581057559701</v>
      </c>
      <c r="S115" s="89">
        <v>256</v>
      </c>
      <c r="T115" s="102" t="s">
        <v>47</v>
      </c>
      <c r="U115" s="102" t="s">
        <v>47</v>
      </c>
      <c r="V115" s="94" t="s">
        <v>55</v>
      </c>
      <c r="W115" s="94" t="s">
        <v>27</v>
      </c>
      <c r="X115" s="94" t="s">
        <v>28</v>
      </c>
      <c r="Y115" s="94" t="s">
        <v>23</v>
      </c>
      <c r="Z115" s="95">
        <v>6.6</v>
      </c>
      <c r="AA115" s="123" t="s">
        <v>556</v>
      </c>
      <c r="AB115" s="94">
        <v>10</v>
      </c>
      <c r="AC115" s="96">
        <v>2</v>
      </c>
      <c r="AD115" s="97">
        <v>86</v>
      </c>
      <c r="AE115" s="98">
        <f>210*C115</f>
        <v>210</v>
      </c>
      <c r="AF115" s="99">
        <v>65</v>
      </c>
      <c r="AG115" s="94"/>
      <c r="AH115" s="42"/>
      <c r="AI115" s="73">
        <f t="shared" si="214"/>
        <v>4.536</v>
      </c>
      <c r="AJ115" s="42">
        <f t="shared" si="215"/>
        <v>4.536</v>
      </c>
      <c r="AK115" s="42">
        <f t="shared" si="216"/>
        <v>2.268</v>
      </c>
      <c r="AL115" s="73">
        <f t="shared" si="139"/>
        <v>7.466666666666667</v>
      </c>
      <c r="AM115" s="92">
        <f t="shared" si="189"/>
        <v>8.205128205128204</v>
      </c>
      <c r="AN115" s="92">
        <f t="shared" si="210"/>
        <v>1</v>
      </c>
      <c r="AO115" s="73">
        <v>2</v>
      </c>
      <c r="AP115" s="73">
        <v>1</v>
      </c>
      <c r="AQ115" s="73">
        <v>1</v>
      </c>
      <c r="AR115" s="87">
        <v>5</v>
      </c>
      <c r="AS115" s="87">
        <v>5</v>
      </c>
      <c r="AT115" s="73">
        <v>1</v>
      </c>
      <c r="AU115" s="73">
        <v>1.3</v>
      </c>
      <c r="AV115" s="73">
        <v>1</v>
      </c>
      <c r="AW115" s="73">
        <f t="shared" si="217"/>
        <v>4.5360000000000005</v>
      </c>
      <c r="AX115" s="73">
        <f t="shared" si="218"/>
        <v>3.8879999999999995</v>
      </c>
      <c r="AY115" s="42">
        <f t="shared" si="219"/>
        <v>6.473577799801783</v>
      </c>
      <c r="AZ115" s="42">
        <f t="shared" si="220"/>
        <v>7.350319127013001</v>
      </c>
      <c r="BA115" s="42"/>
      <c r="BB115" s="73">
        <v>0.02</v>
      </c>
      <c r="BC115" s="73">
        <f t="shared" si="221"/>
        <v>7.203312744472741</v>
      </c>
      <c r="BD115" s="73">
        <v>4.840412061378459</v>
      </c>
      <c r="BE115" s="87">
        <v>5.7504095289176105</v>
      </c>
      <c r="BF115" s="42"/>
      <c r="BG115" s="42"/>
      <c r="BH115" s="92">
        <v>548</v>
      </c>
      <c r="BI115" s="92">
        <f t="shared" si="147"/>
        <v>45.36</v>
      </c>
      <c r="BJ115" s="92">
        <f t="shared" si="148"/>
        <v>0.6222222222222222</v>
      </c>
      <c r="BK115" s="87">
        <f t="shared" si="149"/>
        <v>4.102564102564102</v>
      </c>
      <c r="BL115" s="87">
        <v>8</v>
      </c>
      <c r="BM115" s="87">
        <v>6</v>
      </c>
      <c r="BN115" s="87">
        <v>1</v>
      </c>
      <c r="BO115" s="93">
        <f t="shared" si="150"/>
        <v>1.9874840209308007</v>
      </c>
      <c r="BP115" s="92">
        <f t="shared" si="151"/>
        <v>398.95281913246515</v>
      </c>
      <c r="BQ115" s="42"/>
      <c r="BR115" s="92">
        <v>375</v>
      </c>
      <c r="BS115" s="92">
        <f t="shared" si="152"/>
        <v>45.36</v>
      </c>
      <c r="BT115" s="92">
        <f t="shared" si="153"/>
        <v>0.6222222222222222</v>
      </c>
      <c r="BU115" s="92">
        <f t="shared" si="154"/>
        <v>4.102564102564102</v>
      </c>
      <c r="BV115" s="92">
        <v>8</v>
      </c>
      <c r="BW115" s="92">
        <v>6</v>
      </c>
      <c r="BX115" s="92">
        <v>1</v>
      </c>
      <c r="BY115" s="93">
        <f t="shared" si="155"/>
        <v>1.9874840209308007</v>
      </c>
      <c r="BZ115" s="73">
        <f t="shared" si="156"/>
        <v>572.4250188638292</v>
      </c>
      <c r="CA115" s="42"/>
      <c r="CB115" s="92">
        <v>783</v>
      </c>
      <c r="CC115" s="92">
        <f t="shared" si="157"/>
        <v>45.36</v>
      </c>
      <c r="CD115" s="92">
        <f t="shared" si="158"/>
        <v>0.6222222222222222</v>
      </c>
      <c r="CE115" s="92">
        <f t="shared" si="159"/>
        <v>4.102564102564102</v>
      </c>
      <c r="CF115" s="92">
        <v>8</v>
      </c>
      <c r="CG115" s="92">
        <v>6</v>
      </c>
      <c r="CH115" s="92">
        <v>4</v>
      </c>
      <c r="CI115" s="93">
        <f t="shared" si="160"/>
        <v>1.8528427820418034</v>
      </c>
      <c r="CJ115" s="73">
        <f t="shared" si="161"/>
        <v>573.2601503174293</v>
      </c>
      <c r="CK115" s="42"/>
      <c r="CL115" s="92">
        <v>353</v>
      </c>
      <c r="CM115" s="92">
        <f t="shared" si="162"/>
        <v>45.36</v>
      </c>
      <c r="CN115" s="92">
        <f t="shared" si="163"/>
        <v>0.6222222222222222</v>
      </c>
      <c r="CO115" s="92">
        <f t="shared" si="164"/>
        <v>4.102564102564102</v>
      </c>
      <c r="CP115" s="92">
        <v>8</v>
      </c>
      <c r="CQ115" s="92">
        <v>6</v>
      </c>
      <c r="CR115" s="92">
        <v>1</v>
      </c>
      <c r="CS115" s="93">
        <f t="shared" si="165"/>
        <v>1.9874840209308007</v>
      </c>
      <c r="CT115" s="73">
        <f t="shared" si="202"/>
        <v>710.6363210403904</v>
      </c>
      <c r="CU115" s="42"/>
      <c r="CV115" s="92">
        <v>472</v>
      </c>
      <c r="CW115" s="92">
        <f t="shared" si="167"/>
        <v>45.36</v>
      </c>
      <c r="CX115" s="92">
        <f t="shared" si="168"/>
        <v>0.6222222222222222</v>
      </c>
      <c r="CY115" s="92">
        <f t="shared" si="192"/>
        <v>4.102564102564102</v>
      </c>
      <c r="CZ115" s="92">
        <v>8</v>
      </c>
      <c r="DA115" s="92">
        <v>6</v>
      </c>
      <c r="DB115" s="92">
        <v>1</v>
      </c>
      <c r="DC115" s="93">
        <f t="shared" si="169"/>
        <v>1.9874840209308007</v>
      </c>
      <c r="DD115" s="73">
        <f t="shared" si="203"/>
        <v>648.4617201233827</v>
      </c>
      <c r="DE115" s="42"/>
      <c r="DF115" s="73">
        <v>1888</v>
      </c>
      <c r="DG115" s="73">
        <f t="shared" si="171"/>
        <v>45.36</v>
      </c>
      <c r="DH115" s="73">
        <f t="shared" si="172"/>
        <v>0.6222222222222222</v>
      </c>
      <c r="DI115" s="73">
        <f t="shared" si="173"/>
        <v>4.102564102564102</v>
      </c>
      <c r="DJ115" s="92">
        <v>8</v>
      </c>
      <c r="DK115" s="92">
        <v>6</v>
      </c>
      <c r="DL115" s="92">
        <v>1</v>
      </c>
      <c r="DM115" s="93">
        <f t="shared" si="174"/>
        <v>1.9874840209308007</v>
      </c>
      <c r="DN115" s="73">
        <f t="shared" si="204"/>
        <v>657.9979218899031</v>
      </c>
      <c r="DO115" s="42"/>
      <c r="DP115" s="92">
        <v>445</v>
      </c>
      <c r="DQ115" s="73">
        <f t="shared" si="176"/>
        <v>45.36</v>
      </c>
      <c r="DR115" s="92">
        <f t="shared" si="177"/>
        <v>16.333333333333332</v>
      </c>
      <c r="DS115" s="73">
        <f t="shared" si="178"/>
        <v>4.102564102564102</v>
      </c>
      <c r="DT115" s="92">
        <v>8</v>
      </c>
      <c r="DU115" s="92">
        <v>6</v>
      </c>
      <c r="DV115" s="92">
        <v>1</v>
      </c>
      <c r="DW115" s="93">
        <f t="shared" si="179"/>
        <v>25.39799348492514</v>
      </c>
      <c r="DX115" s="92">
        <f t="shared" si="180"/>
        <v>3529.2949926964056</v>
      </c>
      <c r="DY115" s="42"/>
      <c r="DZ115" s="73">
        <v>587</v>
      </c>
      <c r="EA115" s="92">
        <f t="shared" si="181"/>
        <v>45.36</v>
      </c>
      <c r="EB115" s="92">
        <f t="shared" si="182"/>
        <v>0.6222222222222222</v>
      </c>
      <c r="EC115" s="92">
        <f t="shared" si="183"/>
        <v>4.102564102564102</v>
      </c>
      <c r="ED115" s="92">
        <v>8</v>
      </c>
      <c r="EE115" s="92">
        <v>6</v>
      </c>
      <c r="EF115" s="92">
        <v>1</v>
      </c>
      <c r="EG115" s="93">
        <f t="shared" si="184"/>
        <v>1.9874840209308007</v>
      </c>
      <c r="EH115" s="92">
        <f t="shared" si="185"/>
        <v>575.9394924145533</v>
      </c>
      <c r="EI115" s="42"/>
      <c r="EJ115" s="92">
        <v>450</v>
      </c>
      <c r="EK115" s="73">
        <f t="shared" si="193"/>
        <v>1.89</v>
      </c>
      <c r="EL115" s="73">
        <f t="shared" si="194"/>
        <v>0.6222222222222222</v>
      </c>
      <c r="EM115" s="73">
        <f t="shared" si="195"/>
        <v>1.641025641025641</v>
      </c>
      <c r="EN115" s="92">
        <v>8</v>
      </c>
      <c r="EO115" s="92">
        <v>6</v>
      </c>
      <c r="EP115" s="92">
        <v>1</v>
      </c>
      <c r="EQ115" s="93">
        <f t="shared" si="186"/>
        <v>1.3807352278110392</v>
      </c>
      <c r="ER115" s="73">
        <f t="shared" si="211"/>
        <v>631.4346927624554</v>
      </c>
      <c r="ES115" s="42"/>
      <c r="ET115" s="142">
        <v>0</v>
      </c>
      <c r="EU115" s="142">
        <v>0</v>
      </c>
      <c r="EV115" s="142">
        <v>6</v>
      </c>
      <c r="EW115" s="142">
        <v>39.8</v>
      </c>
      <c r="EX115" s="142">
        <v>0</v>
      </c>
      <c r="EY115" s="142">
        <v>0</v>
      </c>
      <c r="EZ115" s="142">
        <v>0</v>
      </c>
      <c r="FA115" s="142">
        <v>4.8</v>
      </c>
      <c r="FB115" s="142">
        <v>49.4</v>
      </c>
      <c r="FC115" s="92">
        <f t="shared" si="188"/>
        <v>642.7909874124784</v>
      </c>
      <c r="FE115" s="142">
        <v>611</v>
      </c>
      <c r="FF115" s="167">
        <f t="shared" si="196"/>
        <v>45.36</v>
      </c>
      <c r="FG115" s="167">
        <f t="shared" si="197"/>
        <v>0.6222222222222222</v>
      </c>
      <c r="FH115" s="167">
        <f t="shared" si="199"/>
        <v>4.102564102564102</v>
      </c>
      <c r="FI115" s="167">
        <v>8</v>
      </c>
      <c r="FJ115" s="167">
        <v>6</v>
      </c>
      <c r="FK115" s="142">
        <v>1</v>
      </c>
      <c r="FL115" s="142">
        <f t="shared" si="198"/>
        <v>1.9874840209308007</v>
      </c>
      <c r="FM115" s="142">
        <f t="shared" si="207"/>
        <v>546.5581057559701</v>
      </c>
    </row>
    <row r="116" spans="1:169" s="4" customFormat="1" ht="17.25">
      <c r="A116" s="105">
        <v>109</v>
      </c>
      <c r="B116" s="94" t="s">
        <v>488</v>
      </c>
      <c r="C116" s="75">
        <v>1</v>
      </c>
      <c r="D116" s="94">
        <v>2</v>
      </c>
      <c r="E116" s="75">
        <v>540</v>
      </c>
      <c r="F116" s="75">
        <v>1000</v>
      </c>
      <c r="G116" s="75">
        <v>1300</v>
      </c>
      <c r="H116" s="94">
        <v>64</v>
      </c>
      <c r="I116" s="72">
        <f t="shared" si="222"/>
        <v>8</v>
      </c>
      <c r="J116" s="94">
        <v>8</v>
      </c>
      <c r="K116" s="94">
        <v>4</v>
      </c>
      <c r="L116" s="100" t="s">
        <v>30</v>
      </c>
      <c r="M116" s="94">
        <v>16</v>
      </c>
      <c r="N116" s="100" t="s">
        <v>30</v>
      </c>
      <c r="O116" s="94" t="s">
        <v>21</v>
      </c>
      <c r="P116" s="77">
        <f t="shared" si="213"/>
        <v>33.711177722861784</v>
      </c>
      <c r="Q116" s="78">
        <f t="shared" si="200"/>
        <v>600.0828669241017</v>
      </c>
      <c r="R116" s="78">
        <f t="shared" si="191"/>
        <v>508.62110132078794</v>
      </c>
      <c r="S116" s="89">
        <v>256</v>
      </c>
      <c r="T116" s="102" t="s">
        <v>47</v>
      </c>
      <c r="U116" s="102" t="s">
        <v>47</v>
      </c>
      <c r="V116" s="94" t="s">
        <v>55</v>
      </c>
      <c r="W116" s="94" t="s">
        <v>27</v>
      </c>
      <c r="X116" s="94" t="s">
        <v>28</v>
      </c>
      <c r="Y116" s="94" t="s">
        <v>23</v>
      </c>
      <c r="Z116" s="95">
        <v>6.6</v>
      </c>
      <c r="AA116" s="123" t="s">
        <v>556</v>
      </c>
      <c r="AB116" s="94">
        <v>10</v>
      </c>
      <c r="AC116" s="96">
        <v>2</v>
      </c>
      <c r="AD116" s="97">
        <v>86</v>
      </c>
      <c r="AE116" s="98">
        <f>210*C116</f>
        <v>210</v>
      </c>
      <c r="AF116" s="99">
        <v>65</v>
      </c>
      <c r="AG116" s="94"/>
      <c r="AH116" s="42"/>
      <c r="AI116" s="73">
        <f t="shared" si="214"/>
        <v>4.32</v>
      </c>
      <c r="AJ116" s="42">
        <f t="shared" si="215"/>
        <v>4.32</v>
      </c>
      <c r="AK116" s="42">
        <f t="shared" si="216"/>
        <v>2.16</v>
      </c>
      <c r="AL116" s="73">
        <f t="shared" si="139"/>
        <v>6.933333333333334</v>
      </c>
      <c r="AM116" s="92">
        <f t="shared" si="189"/>
        <v>8.205128205128204</v>
      </c>
      <c r="AN116" s="92">
        <f t="shared" si="210"/>
        <v>1</v>
      </c>
      <c r="AO116" s="73">
        <v>2</v>
      </c>
      <c r="AP116" s="73">
        <v>1</v>
      </c>
      <c r="AQ116" s="73">
        <v>1</v>
      </c>
      <c r="AR116" s="87">
        <v>5</v>
      </c>
      <c r="AS116" s="87">
        <v>5</v>
      </c>
      <c r="AT116" s="73">
        <v>1</v>
      </c>
      <c r="AU116" s="73">
        <v>1.3</v>
      </c>
      <c r="AV116" s="73">
        <v>1</v>
      </c>
      <c r="AW116" s="73">
        <f t="shared" si="217"/>
        <v>4.319999999999999</v>
      </c>
      <c r="AX116" s="73">
        <f t="shared" si="218"/>
        <v>3.7028571428571424</v>
      </c>
      <c r="AY116" s="42">
        <f t="shared" si="219"/>
        <v>6.0531736526946105</v>
      </c>
      <c r="AZ116" s="42">
        <f t="shared" si="220"/>
        <v>7.106659620193462</v>
      </c>
      <c r="BA116" s="42"/>
      <c r="BB116" s="73">
        <v>0.02</v>
      </c>
      <c r="BC116" s="73">
        <f t="shared" si="221"/>
        <v>6.964526427789593</v>
      </c>
      <c r="BD116" s="73">
        <v>4.840412061378459</v>
      </c>
      <c r="BE116" s="87">
        <v>5.7504095289176105</v>
      </c>
      <c r="BF116" s="42"/>
      <c r="BG116" s="42"/>
      <c r="BH116" s="92">
        <v>548</v>
      </c>
      <c r="BI116" s="92">
        <f t="shared" si="147"/>
        <v>43.2</v>
      </c>
      <c r="BJ116" s="92">
        <f t="shared" si="148"/>
        <v>0.5777777777777777</v>
      </c>
      <c r="BK116" s="87">
        <f t="shared" si="149"/>
        <v>4.102564102564102</v>
      </c>
      <c r="BL116" s="87">
        <v>8</v>
      </c>
      <c r="BM116" s="87">
        <v>6</v>
      </c>
      <c r="BN116" s="87">
        <v>1</v>
      </c>
      <c r="BO116" s="93">
        <f t="shared" si="150"/>
        <v>1.849531277530138</v>
      </c>
      <c r="BP116" s="92">
        <f t="shared" si="151"/>
        <v>369.13074180866795</v>
      </c>
      <c r="BQ116" s="42"/>
      <c r="BR116" s="92">
        <v>375</v>
      </c>
      <c r="BS116" s="92">
        <f t="shared" si="152"/>
        <v>43.2</v>
      </c>
      <c r="BT116" s="92">
        <f t="shared" si="153"/>
        <v>0.5777777777777777</v>
      </c>
      <c r="BU116" s="92">
        <f t="shared" si="154"/>
        <v>4.102564102564102</v>
      </c>
      <c r="BV116" s="92">
        <v>8</v>
      </c>
      <c r="BW116" s="92">
        <v>6</v>
      </c>
      <c r="BX116" s="92">
        <v>1</v>
      </c>
      <c r="BY116" s="93">
        <f t="shared" si="155"/>
        <v>1.849531277530138</v>
      </c>
      <c r="BZ116" s="73">
        <f t="shared" si="156"/>
        <v>533.0759151969361</v>
      </c>
      <c r="CA116" s="42"/>
      <c r="CB116" s="92">
        <v>783</v>
      </c>
      <c r="CC116" s="92">
        <f t="shared" si="157"/>
        <v>43.2</v>
      </c>
      <c r="CD116" s="92">
        <f t="shared" si="158"/>
        <v>0.5777777777777777</v>
      </c>
      <c r="CE116" s="92">
        <f t="shared" si="159"/>
        <v>4.102564102564102</v>
      </c>
      <c r="CF116" s="92">
        <v>8</v>
      </c>
      <c r="CG116" s="92">
        <v>6</v>
      </c>
      <c r="CH116" s="92">
        <v>4</v>
      </c>
      <c r="CI116" s="93">
        <f t="shared" si="160"/>
        <v>1.7323815928286312</v>
      </c>
      <c r="CJ116" s="73">
        <f t="shared" si="161"/>
        <v>534.191524605984</v>
      </c>
      <c r="CK116" s="42"/>
      <c r="CL116" s="92">
        <v>353</v>
      </c>
      <c r="CM116" s="92">
        <f t="shared" si="162"/>
        <v>43.2</v>
      </c>
      <c r="CN116" s="92">
        <f t="shared" si="163"/>
        <v>0.5777777777777777</v>
      </c>
      <c r="CO116" s="92">
        <f t="shared" si="164"/>
        <v>4.102564102564102</v>
      </c>
      <c r="CP116" s="92">
        <v>8</v>
      </c>
      <c r="CQ116" s="92">
        <v>6</v>
      </c>
      <c r="CR116" s="92">
        <v>1</v>
      </c>
      <c r="CS116" s="93">
        <f t="shared" si="165"/>
        <v>1.849531277530138</v>
      </c>
      <c r="CT116" s="73">
        <f t="shared" si="202"/>
        <v>662.7392533305705</v>
      </c>
      <c r="CU116" s="42"/>
      <c r="CV116" s="92">
        <v>472</v>
      </c>
      <c r="CW116" s="92">
        <f t="shared" si="167"/>
        <v>43.2</v>
      </c>
      <c r="CX116" s="92">
        <f t="shared" si="168"/>
        <v>0.5777777777777777</v>
      </c>
      <c r="CY116" s="92">
        <f t="shared" si="192"/>
        <v>4.102564102564102</v>
      </c>
      <c r="CZ116" s="92">
        <v>8</v>
      </c>
      <c r="DA116" s="92">
        <v>6</v>
      </c>
      <c r="DB116" s="92">
        <v>1</v>
      </c>
      <c r="DC116" s="93">
        <f t="shared" si="169"/>
        <v>1.849531277530138</v>
      </c>
      <c r="DD116" s="73">
        <f t="shared" si="203"/>
        <v>606.0617790448644</v>
      </c>
      <c r="DE116" s="42"/>
      <c r="DF116" s="73">
        <v>1888</v>
      </c>
      <c r="DG116" s="73">
        <f t="shared" si="171"/>
        <v>43.2</v>
      </c>
      <c r="DH116" s="73">
        <f t="shared" si="172"/>
        <v>0.5777777777777777</v>
      </c>
      <c r="DI116" s="73">
        <f t="shared" si="173"/>
        <v>4.102564102564102</v>
      </c>
      <c r="DJ116" s="92">
        <v>8</v>
      </c>
      <c r="DK116" s="92">
        <v>6</v>
      </c>
      <c r="DL116" s="92">
        <v>1</v>
      </c>
      <c r="DM116" s="93">
        <f t="shared" si="174"/>
        <v>1.849531277530138</v>
      </c>
      <c r="DN116" s="73">
        <f t="shared" si="204"/>
        <v>614.9744522661124</v>
      </c>
      <c r="DO116" s="42"/>
      <c r="DP116" s="92">
        <v>445</v>
      </c>
      <c r="DQ116" s="73">
        <f t="shared" si="176"/>
        <v>43.2</v>
      </c>
      <c r="DR116" s="92">
        <f t="shared" si="177"/>
        <v>14.083333333333334</v>
      </c>
      <c r="DS116" s="73">
        <f t="shared" si="178"/>
        <v>4.102564102564102</v>
      </c>
      <c r="DT116" s="92">
        <v>8</v>
      </c>
      <c r="DU116" s="92">
        <v>6</v>
      </c>
      <c r="DV116" s="92">
        <v>1</v>
      </c>
      <c r="DW116" s="93">
        <f t="shared" si="179"/>
        <v>23.39261483153556</v>
      </c>
      <c r="DX116" s="92">
        <f t="shared" si="180"/>
        <v>3272.0879880855086</v>
      </c>
      <c r="DY116" s="42"/>
      <c r="DZ116" s="73">
        <v>587</v>
      </c>
      <c r="EA116" s="92">
        <f t="shared" si="181"/>
        <v>43.2</v>
      </c>
      <c r="EB116" s="92">
        <f t="shared" si="182"/>
        <v>0.5777777777777777</v>
      </c>
      <c r="EC116" s="92">
        <f t="shared" si="183"/>
        <v>4.102564102564102</v>
      </c>
      <c r="ED116" s="92">
        <v>8</v>
      </c>
      <c r="EE116" s="92">
        <v>6</v>
      </c>
      <c r="EF116" s="92">
        <v>1</v>
      </c>
      <c r="EG116" s="93">
        <f t="shared" si="184"/>
        <v>1.849531277530138</v>
      </c>
      <c r="EH116" s="92">
        <f t="shared" si="185"/>
        <v>534.0387804211688</v>
      </c>
      <c r="EI116" s="42"/>
      <c r="EJ116" s="92">
        <v>450</v>
      </c>
      <c r="EK116" s="73">
        <f t="shared" si="193"/>
        <v>1.8</v>
      </c>
      <c r="EL116" s="73">
        <f t="shared" si="194"/>
        <v>0.5777777777777777</v>
      </c>
      <c r="EM116" s="73">
        <f t="shared" si="195"/>
        <v>1.641025641025641</v>
      </c>
      <c r="EN116" s="92">
        <v>8</v>
      </c>
      <c r="EO116" s="92">
        <v>6</v>
      </c>
      <c r="EP116" s="92">
        <v>1</v>
      </c>
      <c r="EQ116" s="93">
        <f t="shared" si="186"/>
        <v>1.295468110689169</v>
      </c>
      <c r="ER116" s="73">
        <f t="shared" si="211"/>
        <v>590.5553074388384</v>
      </c>
      <c r="ES116" s="42"/>
      <c r="ET116" s="142">
        <v>0</v>
      </c>
      <c r="EU116" s="142">
        <v>0</v>
      </c>
      <c r="EV116" s="142">
        <v>6</v>
      </c>
      <c r="EW116" s="142">
        <v>39.8</v>
      </c>
      <c r="EX116" s="142">
        <v>0</v>
      </c>
      <c r="EY116" s="142">
        <v>0</v>
      </c>
      <c r="EZ116" s="142">
        <v>0</v>
      </c>
      <c r="FA116" s="142">
        <v>4.8</v>
      </c>
      <c r="FB116" s="142">
        <v>49.4</v>
      </c>
      <c r="FC116" s="92">
        <f t="shared" si="188"/>
        <v>600.0828669241017</v>
      </c>
      <c r="FE116" s="142">
        <v>611</v>
      </c>
      <c r="FF116" s="167">
        <f t="shared" si="196"/>
        <v>43.2</v>
      </c>
      <c r="FG116" s="167">
        <f t="shared" si="197"/>
        <v>0.5777777777777777</v>
      </c>
      <c r="FH116" s="167">
        <f t="shared" si="199"/>
        <v>4.102564102564102</v>
      </c>
      <c r="FI116" s="167">
        <v>8</v>
      </c>
      <c r="FJ116" s="167">
        <v>6</v>
      </c>
      <c r="FK116" s="142">
        <v>1</v>
      </c>
      <c r="FL116" s="142">
        <f t="shared" si="198"/>
        <v>1.849531277530138</v>
      </c>
      <c r="FM116" s="142">
        <f t="shared" si="207"/>
        <v>508.62110132078794</v>
      </c>
    </row>
    <row r="117" spans="1:169" s="4" customFormat="1" ht="17.25">
      <c r="A117" s="105">
        <v>110</v>
      </c>
      <c r="B117" s="94" t="s">
        <v>489</v>
      </c>
      <c r="C117" s="75">
        <v>1</v>
      </c>
      <c r="D117" s="94">
        <v>2</v>
      </c>
      <c r="E117" s="75">
        <v>580</v>
      </c>
      <c r="F117" s="75">
        <v>1333</v>
      </c>
      <c r="G117" s="75">
        <v>1400</v>
      </c>
      <c r="H117" s="94">
        <v>128</v>
      </c>
      <c r="I117" s="72">
        <v>4</v>
      </c>
      <c r="J117" s="94">
        <v>4</v>
      </c>
      <c r="K117" s="94">
        <v>4</v>
      </c>
      <c r="L117" s="100" t="s">
        <v>30</v>
      </c>
      <c r="M117" s="94">
        <v>16</v>
      </c>
      <c r="N117" s="100" t="s">
        <v>30</v>
      </c>
      <c r="O117" s="94" t="s">
        <v>21</v>
      </c>
      <c r="P117" s="77">
        <f t="shared" si="213"/>
        <v>32.48772154763001</v>
      </c>
      <c r="Q117" s="78">
        <f t="shared" si="200"/>
        <v>646.2665486070862</v>
      </c>
      <c r="R117" s="78">
        <f t="shared" si="191"/>
        <v>547.2797708351719</v>
      </c>
      <c r="S117" s="89">
        <v>256</v>
      </c>
      <c r="T117" s="24" t="s">
        <v>26</v>
      </c>
      <c r="U117" s="24" t="s">
        <v>26</v>
      </c>
      <c r="V117" s="94" t="s">
        <v>55</v>
      </c>
      <c r="W117" s="94" t="s">
        <v>27</v>
      </c>
      <c r="X117" s="94" t="s">
        <v>28</v>
      </c>
      <c r="Y117" s="94" t="s">
        <v>28</v>
      </c>
      <c r="Z117" s="95" t="s">
        <v>28</v>
      </c>
      <c r="AA117" s="95" t="s">
        <v>560</v>
      </c>
      <c r="AB117" s="94">
        <v>10</v>
      </c>
      <c r="AC117" s="96">
        <v>2</v>
      </c>
      <c r="AD117" s="97"/>
      <c r="AE117" s="98" t="s">
        <v>47</v>
      </c>
      <c r="AF117" s="99">
        <v>65</v>
      </c>
      <c r="AG117" s="94"/>
      <c r="AH117" s="42"/>
      <c r="AI117" s="73">
        <f t="shared" si="214"/>
        <v>2.32</v>
      </c>
      <c r="AJ117" s="42">
        <f t="shared" si="215"/>
        <v>2.32</v>
      </c>
      <c r="AK117" s="42">
        <f t="shared" si="216"/>
        <v>2.32</v>
      </c>
      <c r="AL117" s="73">
        <f t="shared" si="139"/>
        <v>7.466666666666667</v>
      </c>
      <c r="AM117" s="42">
        <f>H117*F117/20000</f>
        <v>8.5312</v>
      </c>
      <c r="AN117" s="92">
        <f t="shared" si="210"/>
        <v>1</v>
      </c>
      <c r="AO117" s="73">
        <v>2</v>
      </c>
      <c r="AP117" s="73">
        <v>1</v>
      </c>
      <c r="AQ117" s="73">
        <v>1</v>
      </c>
      <c r="AR117" s="73">
        <v>5</v>
      </c>
      <c r="AS117" s="87">
        <v>5</v>
      </c>
      <c r="AT117" s="73">
        <v>1</v>
      </c>
      <c r="AU117" s="73">
        <v>1.3</v>
      </c>
      <c r="AV117" s="73">
        <v>1</v>
      </c>
      <c r="AW117" s="73">
        <f t="shared" si="217"/>
        <v>2.32</v>
      </c>
      <c r="AX117" s="73">
        <f t="shared" si="218"/>
        <v>2.32</v>
      </c>
      <c r="AY117" s="42">
        <f t="shared" si="219"/>
        <v>5.451188811188811</v>
      </c>
      <c r="AZ117" s="42">
        <f t="shared" si="220"/>
        <v>6.848742597267873</v>
      </c>
      <c r="BA117" s="42"/>
      <c r="BB117" s="73">
        <v>0.02</v>
      </c>
      <c r="BC117" s="73">
        <f t="shared" si="221"/>
        <v>6.711767745322516</v>
      </c>
      <c r="BD117" s="73">
        <v>4.840412061378459</v>
      </c>
      <c r="BE117" s="87">
        <v>5.7504095289176105</v>
      </c>
      <c r="BF117" s="42"/>
      <c r="BG117" s="42"/>
      <c r="BH117" s="92">
        <v>548</v>
      </c>
      <c r="BI117" s="92">
        <f t="shared" si="147"/>
        <v>46.4</v>
      </c>
      <c r="BJ117" s="92">
        <f t="shared" si="148"/>
        <v>0.6222222222222222</v>
      </c>
      <c r="BK117" s="87">
        <f t="shared" si="149"/>
        <v>4.2656</v>
      </c>
      <c r="BL117" s="87">
        <v>8</v>
      </c>
      <c r="BM117" s="87">
        <v>6</v>
      </c>
      <c r="BN117" s="87">
        <v>1</v>
      </c>
      <c r="BO117" s="93">
        <f t="shared" si="150"/>
        <v>1.9901082575824434</v>
      </c>
      <c r="BP117" s="92">
        <f t="shared" si="151"/>
        <v>399.5217605786938</v>
      </c>
      <c r="BQ117" s="42"/>
      <c r="BR117" s="92">
        <v>375</v>
      </c>
      <c r="BS117" s="92">
        <f t="shared" si="152"/>
        <v>46.4</v>
      </c>
      <c r="BT117" s="92">
        <f t="shared" si="153"/>
        <v>0.6222222222222222</v>
      </c>
      <c r="BU117" s="92">
        <f t="shared" si="154"/>
        <v>4.2656</v>
      </c>
      <c r="BV117" s="92">
        <v>8</v>
      </c>
      <c r="BW117" s="92">
        <v>6</v>
      </c>
      <c r="BX117" s="92">
        <v>1</v>
      </c>
      <c r="BY117" s="93">
        <f t="shared" si="155"/>
        <v>1.9901082575824434</v>
      </c>
      <c r="BZ117" s="73">
        <f t="shared" si="156"/>
        <v>573.1732749998789</v>
      </c>
      <c r="CA117" s="42"/>
      <c r="CB117" s="92">
        <v>783</v>
      </c>
      <c r="CC117" s="92">
        <f t="shared" si="157"/>
        <v>46.4</v>
      </c>
      <c r="CD117" s="92">
        <f t="shared" si="158"/>
        <v>0.6222222222222222</v>
      </c>
      <c r="CE117" s="92">
        <f t="shared" si="159"/>
        <v>4.2656</v>
      </c>
      <c r="CF117" s="92">
        <v>8</v>
      </c>
      <c r="CG117" s="92">
        <v>6</v>
      </c>
      <c r="CH117" s="92">
        <v>4</v>
      </c>
      <c r="CI117" s="93">
        <f t="shared" si="160"/>
        <v>1.8599451327905039</v>
      </c>
      <c r="CJ117" s="73">
        <f t="shared" si="161"/>
        <v>575.5676739873378</v>
      </c>
      <c r="CK117" s="42"/>
      <c r="CL117" s="92">
        <v>353</v>
      </c>
      <c r="CM117" s="92">
        <f t="shared" si="162"/>
        <v>46.4</v>
      </c>
      <c r="CN117" s="92">
        <f t="shared" si="163"/>
        <v>0.6222222222222222</v>
      </c>
      <c r="CO117" s="92">
        <f t="shared" si="164"/>
        <v>4.2656</v>
      </c>
      <c r="CP117" s="92">
        <v>8</v>
      </c>
      <c r="CQ117" s="92">
        <v>6</v>
      </c>
      <c r="CR117" s="92">
        <v>1</v>
      </c>
      <c r="CS117" s="93">
        <f t="shared" si="165"/>
        <v>1.9901082575824434</v>
      </c>
      <c r="CT117" s="73">
        <f t="shared" si="202"/>
        <v>711.5464645752637</v>
      </c>
      <c r="CU117" s="42"/>
      <c r="CV117" s="92">
        <v>472</v>
      </c>
      <c r="CW117" s="92">
        <f t="shared" si="167"/>
        <v>46.4</v>
      </c>
      <c r="CX117" s="92">
        <f t="shared" si="168"/>
        <v>0.6222222222222222</v>
      </c>
      <c r="CY117" s="92">
        <f t="shared" si="192"/>
        <v>4.2656</v>
      </c>
      <c r="CZ117" s="92">
        <v>8</v>
      </c>
      <c r="DA117" s="92">
        <v>6</v>
      </c>
      <c r="DB117" s="92">
        <v>1</v>
      </c>
      <c r="DC117" s="93">
        <f t="shared" si="169"/>
        <v>1.9901082575824434</v>
      </c>
      <c r="DD117" s="73">
        <f t="shared" si="203"/>
        <v>649.2665319568529</v>
      </c>
      <c r="DE117" s="42"/>
      <c r="DF117" s="73">
        <v>1888</v>
      </c>
      <c r="DG117" s="73">
        <f t="shared" si="171"/>
        <v>46.4</v>
      </c>
      <c r="DH117" s="73">
        <f t="shared" si="172"/>
        <v>0.6222222222222222</v>
      </c>
      <c r="DI117" s="73">
        <f t="shared" si="173"/>
        <v>4.2656</v>
      </c>
      <c r="DJ117" s="92">
        <v>8</v>
      </c>
      <c r="DK117" s="92">
        <v>6</v>
      </c>
      <c r="DL117" s="92">
        <v>1</v>
      </c>
      <c r="DM117" s="93">
        <f t="shared" si="174"/>
        <v>1.9901082575824434</v>
      </c>
      <c r="DN117" s="73">
        <f t="shared" si="204"/>
        <v>658.8145691915124</v>
      </c>
      <c r="DO117" s="42"/>
      <c r="DP117" s="92">
        <v>445</v>
      </c>
      <c r="DQ117" s="73">
        <f t="shared" si="176"/>
        <v>46.4</v>
      </c>
      <c r="DR117" s="92">
        <f t="shared" si="177"/>
        <v>16.333333333333332</v>
      </c>
      <c r="DS117" s="73">
        <f t="shared" si="178"/>
        <v>4.2656</v>
      </c>
      <c r="DT117" s="92">
        <v>8</v>
      </c>
      <c r="DU117" s="92">
        <v>6</v>
      </c>
      <c r="DV117" s="92">
        <v>1</v>
      </c>
      <c r="DW117" s="93">
        <f t="shared" si="179"/>
        <v>25.83330690939863</v>
      </c>
      <c r="DX117" s="92">
        <f t="shared" si="180"/>
        <v>3584.908772586219</v>
      </c>
      <c r="DY117" s="42"/>
      <c r="DZ117" s="73">
        <v>587</v>
      </c>
      <c r="EA117" s="92">
        <f t="shared" si="181"/>
        <v>46.4</v>
      </c>
      <c r="EB117" s="92">
        <f t="shared" si="182"/>
        <v>0.6222222222222222</v>
      </c>
      <c r="EC117" s="92">
        <f t="shared" si="183"/>
        <v>4.2656</v>
      </c>
      <c r="ED117" s="92">
        <v>8</v>
      </c>
      <c r="EE117" s="92">
        <v>6</v>
      </c>
      <c r="EF117" s="92">
        <v>1</v>
      </c>
      <c r="EG117" s="93">
        <f t="shared" si="184"/>
        <v>1.9901082575824434</v>
      </c>
      <c r="EH117" s="92">
        <f t="shared" si="185"/>
        <v>576.7380014581307</v>
      </c>
      <c r="EI117" s="42"/>
      <c r="EJ117" s="92">
        <v>450</v>
      </c>
      <c r="EK117" s="73">
        <f t="shared" si="193"/>
        <v>1.9333333333333333</v>
      </c>
      <c r="EL117" s="73">
        <f t="shared" si="194"/>
        <v>0.6222222222222222</v>
      </c>
      <c r="EM117" s="73">
        <f t="shared" si="195"/>
        <v>1.70624</v>
      </c>
      <c r="EN117" s="92">
        <v>8</v>
      </c>
      <c r="EO117" s="92">
        <v>6</v>
      </c>
      <c r="EP117" s="92">
        <v>1</v>
      </c>
      <c r="EQ117" s="93">
        <f t="shared" si="186"/>
        <v>1.3920914534413202</v>
      </c>
      <c r="ER117" s="73">
        <f t="shared" si="211"/>
        <v>636.8888845397079</v>
      </c>
      <c r="ES117" s="42"/>
      <c r="ET117" s="142">
        <v>0</v>
      </c>
      <c r="EU117" s="142">
        <v>0</v>
      </c>
      <c r="EV117" s="142">
        <v>6</v>
      </c>
      <c r="EW117" s="142">
        <v>39.8</v>
      </c>
      <c r="EX117" s="142">
        <v>0</v>
      </c>
      <c r="EY117" s="142">
        <v>0</v>
      </c>
      <c r="EZ117" s="142">
        <v>0</v>
      </c>
      <c r="FA117" s="142">
        <v>4.8</v>
      </c>
      <c r="FB117" s="142">
        <v>49.4</v>
      </c>
      <c r="FC117" s="92">
        <f t="shared" si="188"/>
        <v>646.2665486070862</v>
      </c>
      <c r="FE117" s="142">
        <v>611</v>
      </c>
      <c r="FF117" s="167">
        <f t="shared" si="196"/>
        <v>46.4</v>
      </c>
      <c r="FG117" s="167">
        <f t="shared" si="197"/>
        <v>0.6222222222222222</v>
      </c>
      <c r="FH117" s="167">
        <f t="shared" si="199"/>
        <v>4.2656</v>
      </c>
      <c r="FI117" s="167">
        <v>8</v>
      </c>
      <c r="FJ117" s="167">
        <v>6</v>
      </c>
      <c r="FK117" s="142">
        <v>1</v>
      </c>
      <c r="FL117" s="142">
        <f t="shared" si="198"/>
        <v>1.9901082575824434</v>
      </c>
      <c r="FM117" s="142">
        <f t="shared" si="207"/>
        <v>547.2797708351719</v>
      </c>
    </row>
    <row r="118" spans="1:169" s="4" customFormat="1" ht="17.25">
      <c r="A118" s="105">
        <v>111</v>
      </c>
      <c r="B118" s="94" t="s">
        <v>490</v>
      </c>
      <c r="C118" s="75">
        <v>1</v>
      </c>
      <c r="D118" s="94">
        <v>2</v>
      </c>
      <c r="E118" s="75">
        <v>450</v>
      </c>
      <c r="F118" s="75">
        <v>800</v>
      </c>
      <c r="G118" s="75">
        <v>1200</v>
      </c>
      <c r="H118" s="94">
        <v>128</v>
      </c>
      <c r="I118" s="72">
        <v>4</v>
      </c>
      <c r="J118" s="94">
        <v>4</v>
      </c>
      <c r="K118" s="94">
        <v>4</v>
      </c>
      <c r="L118" s="100" t="s">
        <v>30</v>
      </c>
      <c r="M118" s="94">
        <v>16</v>
      </c>
      <c r="N118" s="100" t="s">
        <v>30</v>
      </c>
      <c r="O118" s="94" t="s">
        <v>21</v>
      </c>
      <c r="P118" s="77">
        <f t="shared" si="213"/>
        <v>22.88677271357535</v>
      </c>
      <c r="Q118" s="78">
        <f t="shared" si="200"/>
        <v>533.0613221401021</v>
      </c>
      <c r="R118" s="78">
        <f t="shared" si="191"/>
        <v>463.63237231084446</v>
      </c>
      <c r="S118" s="89">
        <v>256</v>
      </c>
      <c r="T118" s="24" t="s">
        <v>26</v>
      </c>
      <c r="U118" s="24" t="s">
        <v>26</v>
      </c>
      <c r="V118" s="94" t="s">
        <v>55</v>
      </c>
      <c r="W118" s="94" t="s">
        <v>27</v>
      </c>
      <c r="X118" s="94" t="s">
        <v>28</v>
      </c>
      <c r="Y118" s="94" t="s">
        <v>28</v>
      </c>
      <c r="Z118" s="95" t="s">
        <v>28</v>
      </c>
      <c r="AA118" s="95" t="s">
        <v>560</v>
      </c>
      <c r="AB118" s="94">
        <v>10</v>
      </c>
      <c r="AC118" s="96">
        <v>2</v>
      </c>
      <c r="AD118" s="97"/>
      <c r="AE118" s="98" t="s">
        <v>47</v>
      </c>
      <c r="AF118" s="99">
        <v>65</v>
      </c>
      <c r="AG118" s="94"/>
      <c r="AH118" s="42"/>
      <c r="AI118" s="73">
        <f t="shared" si="214"/>
        <v>1.8</v>
      </c>
      <c r="AJ118" s="42">
        <f t="shared" si="215"/>
        <v>1.8</v>
      </c>
      <c r="AK118" s="42">
        <f t="shared" si="216"/>
        <v>1.8</v>
      </c>
      <c r="AL118" s="73">
        <f t="shared" si="139"/>
        <v>6.4</v>
      </c>
      <c r="AM118" s="42">
        <f>H118*F118/20000</f>
        <v>5.12</v>
      </c>
      <c r="AN118" s="92">
        <f t="shared" si="210"/>
        <v>1</v>
      </c>
      <c r="AO118" s="73">
        <v>2</v>
      </c>
      <c r="AP118" s="73">
        <v>1</v>
      </c>
      <c r="AQ118" s="73">
        <v>1</v>
      </c>
      <c r="AR118" s="73">
        <v>5</v>
      </c>
      <c r="AS118" s="87">
        <v>5</v>
      </c>
      <c r="AT118" s="73">
        <v>1</v>
      </c>
      <c r="AU118" s="73">
        <v>1.3</v>
      </c>
      <c r="AV118" s="73">
        <v>1</v>
      </c>
      <c r="AW118" s="73">
        <f t="shared" si="217"/>
        <v>1.8</v>
      </c>
      <c r="AX118" s="73">
        <f t="shared" si="218"/>
        <v>1.8</v>
      </c>
      <c r="AY118" s="42">
        <f t="shared" si="219"/>
        <v>4.488311688311689</v>
      </c>
      <c r="AZ118" s="42">
        <f t="shared" si="220"/>
        <v>4.824764795144158</v>
      </c>
      <c r="BA118" s="42"/>
      <c r="BB118" s="73">
        <v>0.02</v>
      </c>
      <c r="BC118" s="73">
        <f t="shared" si="221"/>
        <v>4.728269499241274</v>
      </c>
      <c r="BD118" s="73">
        <v>4.840412061378459</v>
      </c>
      <c r="BE118" s="87">
        <v>5.7504095289176105</v>
      </c>
      <c r="BF118" s="42"/>
      <c r="BG118" s="42"/>
      <c r="BH118" s="92">
        <v>548</v>
      </c>
      <c r="BI118" s="92">
        <f t="shared" si="147"/>
        <v>36</v>
      </c>
      <c r="BJ118" s="92">
        <f t="shared" si="148"/>
        <v>0.5333333333333333</v>
      </c>
      <c r="BK118" s="87">
        <f t="shared" si="149"/>
        <v>2.56</v>
      </c>
      <c r="BL118" s="87">
        <v>8</v>
      </c>
      <c r="BM118" s="87">
        <v>6</v>
      </c>
      <c r="BN118" s="87">
        <v>1</v>
      </c>
      <c r="BO118" s="93">
        <f t="shared" si="150"/>
        <v>1.6859358993121616</v>
      </c>
      <c r="BP118" s="92">
        <f t="shared" si="151"/>
        <v>333.99652167879157</v>
      </c>
      <c r="BQ118" s="42"/>
      <c r="BR118" s="92">
        <v>375</v>
      </c>
      <c r="BS118" s="92">
        <f t="shared" si="152"/>
        <v>36</v>
      </c>
      <c r="BT118" s="92">
        <f t="shared" si="153"/>
        <v>0.5333333333333333</v>
      </c>
      <c r="BU118" s="92">
        <f t="shared" si="154"/>
        <v>2.56</v>
      </c>
      <c r="BV118" s="92">
        <v>8</v>
      </c>
      <c r="BW118" s="92">
        <v>6</v>
      </c>
      <c r="BX118" s="92">
        <v>1</v>
      </c>
      <c r="BY118" s="93">
        <f t="shared" si="155"/>
        <v>1.6859358993121616</v>
      </c>
      <c r="BZ118" s="73">
        <f t="shared" si="156"/>
        <v>486.37433014059707</v>
      </c>
      <c r="CA118" s="42"/>
      <c r="CB118" s="92">
        <v>783</v>
      </c>
      <c r="CC118" s="92">
        <f t="shared" si="157"/>
        <v>36</v>
      </c>
      <c r="CD118" s="92">
        <f t="shared" si="158"/>
        <v>0.5333333333333333</v>
      </c>
      <c r="CE118" s="92">
        <f t="shared" si="159"/>
        <v>2.56</v>
      </c>
      <c r="CF118" s="92">
        <v>8</v>
      </c>
      <c r="CG118" s="92">
        <v>6</v>
      </c>
      <c r="CH118" s="92">
        <v>4</v>
      </c>
      <c r="CI118" s="93">
        <f t="shared" si="160"/>
        <v>1.534363345764518</v>
      </c>
      <c r="CJ118" s="73">
        <f t="shared" si="161"/>
        <v>470.26849052096895</v>
      </c>
      <c r="CK118" s="42"/>
      <c r="CL118" s="92">
        <v>353</v>
      </c>
      <c r="CM118" s="92">
        <f t="shared" si="162"/>
        <v>36</v>
      </c>
      <c r="CN118" s="92">
        <f t="shared" si="163"/>
        <v>0.5333333333333333</v>
      </c>
      <c r="CO118" s="92">
        <f t="shared" si="164"/>
        <v>2.56</v>
      </c>
      <c r="CP118" s="92">
        <v>8</v>
      </c>
      <c r="CQ118" s="92">
        <v>6</v>
      </c>
      <c r="CR118" s="92">
        <v>1</v>
      </c>
      <c r="CS118" s="93">
        <f t="shared" si="165"/>
        <v>1.6859358993121616</v>
      </c>
      <c r="CT118" s="73">
        <f t="shared" si="202"/>
        <v>605.799193846959</v>
      </c>
      <c r="CU118" s="42"/>
      <c r="CV118" s="92">
        <v>472</v>
      </c>
      <c r="CW118" s="92">
        <f t="shared" si="167"/>
        <v>36</v>
      </c>
      <c r="CX118" s="92">
        <f t="shared" si="168"/>
        <v>0.5333333333333333</v>
      </c>
      <c r="CY118" s="92">
        <f t="shared" si="192"/>
        <v>2.56</v>
      </c>
      <c r="CZ118" s="92">
        <v>8</v>
      </c>
      <c r="DA118" s="92">
        <v>6</v>
      </c>
      <c r="DB118" s="92">
        <v>1</v>
      </c>
      <c r="DC118" s="93">
        <f t="shared" si="169"/>
        <v>1.6859358993121616</v>
      </c>
      <c r="DD118" s="73">
        <f t="shared" si="203"/>
        <v>555.532551938011</v>
      </c>
      <c r="DE118" s="42"/>
      <c r="DF118" s="73">
        <v>1888</v>
      </c>
      <c r="DG118" s="73">
        <f t="shared" si="171"/>
        <v>36</v>
      </c>
      <c r="DH118" s="73">
        <f t="shared" si="172"/>
        <v>0.5333333333333333</v>
      </c>
      <c r="DI118" s="73">
        <f t="shared" si="173"/>
        <v>2.56</v>
      </c>
      <c r="DJ118" s="92">
        <v>8</v>
      </c>
      <c r="DK118" s="92">
        <v>6</v>
      </c>
      <c r="DL118" s="92">
        <v>1</v>
      </c>
      <c r="DM118" s="93">
        <f t="shared" si="174"/>
        <v>1.6859358993121616</v>
      </c>
      <c r="DN118" s="73">
        <f t="shared" si="204"/>
        <v>563.7021482900407</v>
      </c>
      <c r="DO118" s="42"/>
      <c r="DP118" s="92">
        <v>445</v>
      </c>
      <c r="DQ118" s="73">
        <f t="shared" si="176"/>
        <v>36</v>
      </c>
      <c r="DR118" s="92">
        <f t="shared" si="177"/>
        <v>12</v>
      </c>
      <c r="DS118" s="73">
        <f t="shared" si="178"/>
        <v>2.56</v>
      </c>
      <c r="DT118" s="92">
        <v>8</v>
      </c>
      <c r="DU118" s="92">
        <v>6</v>
      </c>
      <c r="DV118" s="92">
        <v>1</v>
      </c>
      <c r="DW118" s="93">
        <f t="shared" si="179"/>
        <v>17.97191887675507</v>
      </c>
      <c r="DX118" s="92">
        <f t="shared" si="180"/>
        <v>2567.434653413077</v>
      </c>
      <c r="DY118" s="42"/>
      <c r="DZ118" s="73">
        <v>587</v>
      </c>
      <c r="EA118" s="92">
        <f t="shared" si="181"/>
        <v>36</v>
      </c>
      <c r="EB118" s="92">
        <f t="shared" si="182"/>
        <v>0.5333333333333333</v>
      </c>
      <c r="EC118" s="92">
        <f t="shared" si="183"/>
        <v>2.56</v>
      </c>
      <c r="ED118" s="92">
        <v>8</v>
      </c>
      <c r="EE118" s="92">
        <v>6</v>
      </c>
      <c r="EF118" s="92">
        <v>1</v>
      </c>
      <c r="EG118" s="93">
        <f t="shared" si="184"/>
        <v>1.6859358993121616</v>
      </c>
      <c r="EH118" s="92">
        <f t="shared" si="185"/>
        <v>484.55283919573003</v>
      </c>
      <c r="EI118" s="42"/>
      <c r="EJ118" s="92">
        <v>450</v>
      </c>
      <c r="EK118" s="73">
        <f t="shared" si="193"/>
        <v>1.5</v>
      </c>
      <c r="EL118" s="73">
        <f t="shared" si="194"/>
        <v>0.5333333333333333</v>
      </c>
      <c r="EM118" s="73">
        <f t="shared" si="195"/>
        <v>1.024</v>
      </c>
      <c r="EN118" s="92">
        <v>8</v>
      </c>
      <c r="EO118" s="92">
        <v>6</v>
      </c>
      <c r="EP118" s="92">
        <v>1</v>
      </c>
      <c r="EQ118" s="93">
        <f t="shared" si="186"/>
        <v>1.1389589203618569</v>
      </c>
      <c r="ER118" s="73">
        <f t="shared" si="211"/>
        <v>515.8767761447485</v>
      </c>
      <c r="ES118" s="42"/>
      <c r="ET118" s="142">
        <v>0</v>
      </c>
      <c r="EU118" s="142">
        <v>0</v>
      </c>
      <c r="EV118" s="142">
        <v>6</v>
      </c>
      <c r="EW118" s="142">
        <v>39.8</v>
      </c>
      <c r="EX118" s="142">
        <v>0</v>
      </c>
      <c r="EY118" s="142">
        <v>0</v>
      </c>
      <c r="EZ118" s="142">
        <v>0</v>
      </c>
      <c r="FA118" s="142">
        <v>4.8</v>
      </c>
      <c r="FB118" s="142">
        <v>49.4</v>
      </c>
      <c r="FC118" s="92">
        <f t="shared" si="188"/>
        <v>533.0613221401021</v>
      </c>
      <c r="FE118" s="142">
        <v>611</v>
      </c>
      <c r="FF118" s="167">
        <f t="shared" si="196"/>
        <v>36</v>
      </c>
      <c r="FG118" s="167">
        <f t="shared" si="197"/>
        <v>0.5333333333333333</v>
      </c>
      <c r="FH118" s="167">
        <f t="shared" si="199"/>
        <v>2.56</v>
      </c>
      <c r="FI118" s="167">
        <v>8</v>
      </c>
      <c r="FJ118" s="167">
        <v>6</v>
      </c>
      <c r="FK118" s="142">
        <v>1</v>
      </c>
      <c r="FL118" s="142">
        <f t="shared" si="198"/>
        <v>1.6859358993121616</v>
      </c>
      <c r="FM118" s="142">
        <f t="shared" si="207"/>
        <v>463.63237231084446</v>
      </c>
    </row>
    <row r="119" spans="1:169" s="18" customFormat="1" ht="17.25">
      <c r="A119" s="105">
        <v>112</v>
      </c>
      <c r="B119" s="108" t="s">
        <v>48</v>
      </c>
      <c r="C119" s="109">
        <v>1</v>
      </c>
      <c r="D119" s="108">
        <v>2</v>
      </c>
      <c r="E119" s="110">
        <v>500</v>
      </c>
      <c r="F119" s="75">
        <v>1800</v>
      </c>
      <c r="G119" s="110">
        <v>1500</v>
      </c>
      <c r="H119" s="110">
        <v>16</v>
      </c>
      <c r="I119" s="110">
        <v>4</v>
      </c>
      <c r="J119" s="108">
        <v>4</v>
      </c>
      <c r="K119" s="108">
        <v>4</v>
      </c>
      <c r="L119" s="111" t="s">
        <v>30</v>
      </c>
      <c r="M119" s="108">
        <v>16</v>
      </c>
      <c r="N119" s="111" t="s">
        <v>30</v>
      </c>
      <c r="O119" s="108" t="s">
        <v>21</v>
      </c>
      <c r="P119" s="77">
        <f t="shared" si="213"/>
        <v>17.076973752543203</v>
      </c>
      <c r="Q119" s="78">
        <f t="shared" si="200"/>
        <v>613.7325914757448</v>
      </c>
      <c r="R119" s="78">
        <f t="shared" si="191"/>
        <v>555.8674901740595</v>
      </c>
      <c r="S119" s="112">
        <v>256</v>
      </c>
      <c r="T119" s="25" t="s">
        <v>26</v>
      </c>
      <c r="U119" s="25" t="s">
        <v>26</v>
      </c>
      <c r="V119" s="108" t="s">
        <v>55</v>
      </c>
      <c r="W119" s="108" t="s">
        <v>27</v>
      </c>
      <c r="X119" s="108" t="s">
        <v>28</v>
      </c>
      <c r="Y119" s="108" t="s">
        <v>28</v>
      </c>
      <c r="Z119" s="113" t="s">
        <v>28</v>
      </c>
      <c r="AA119" s="95" t="s">
        <v>560</v>
      </c>
      <c r="AB119" s="108">
        <v>10</v>
      </c>
      <c r="AC119" s="114">
        <v>2</v>
      </c>
      <c r="AD119" s="115"/>
      <c r="AE119" s="116" t="s">
        <v>47</v>
      </c>
      <c r="AF119" s="117">
        <v>80</v>
      </c>
      <c r="AG119" s="108"/>
      <c r="AH119" s="118"/>
      <c r="AI119" s="119">
        <f t="shared" si="214"/>
        <v>2</v>
      </c>
      <c r="AJ119" s="118">
        <f t="shared" si="215"/>
        <v>2</v>
      </c>
      <c r="AK119" s="118">
        <f t="shared" si="216"/>
        <v>2</v>
      </c>
      <c r="AL119" s="119">
        <f t="shared" si="139"/>
        <v>8</v>
      </c>
      <c r="AM119" s="118">
        <f>H119*F119/10000</f>
        <v>2.88</v>
      </c>
      <c r="AN119" s="92">
        <f t="shared" si="210"/>
        <v>1</v>
      </c>
      <c r="AO119" s="119">
        <v>2</v>
      </c>
      <c r="AP119" s="119">
        <v>1</v>
      </c>
      <c r="AQ119" s="119">
        <v>1</v>
      </c>
      <c r="AR119" s="87">
        <v>5</v>
      </c>
      <c r="AS119" s="87">
        <v>5</v>
      </c>
      <c r="AT119" s="119">
        <v>1</v>
      </c>
      <c r="AU119" s="119">
        <v>1.3</v>
      </c>
      <c r="AV119" s="119">
        <v>1</v>
      </c>
      <c r="AW119" s="119">
        <f t="shared" si="217"/>
        <v>2</v>
      </c>
      <c r="AX119" s="119">
        <f t="shared" si="218"/>
        <v>2</v>
      </c>
      <c r="AY119" s="118">
        <f t="shared" si="219"/>
        <v>5.333333333333333</v>
      </c>
      <c r="AZ119" s="118">
        <f t="shared" si="220"/>
        <v>3.5999999999999996</v>
      </c>
      <c r="BA119" s="118"/>
      <c r="BB119" s="73">
        <v>0.02</v>
      </c>
      <c r="BC119" s="73">
        <f t="shared" si="221"/>
        <v>3.5279999999999996</v>
      </c>
      <c r="BD119" s="73">
        <v>4.840412061378459</v>
      </c>
      <c r="BE119" s="87">
        <v>5.7504095289176105</v>
      </c>
      <c r="BF119" s="118"/>
      <c r="BG119" s="118"/>
      <c r="BH119" s="92">
        <v>548</v>
      </c>
      <c r="BI119" s="92">
        <f t="shared" si="147"/>
        <v>40</v>
      </c>
      <c r="BJ119" s="92">
        <f t="shared" si="148"/>
        <v>0.6666666666666666</v>
      </c>
      <c r="BK119" s="87">
        <f t="shared" si="149"/>
        <v>1.44</v>
      </c>
      <c r="BL119" s="87">
        <v>8</v>
      </c>
      <c r="BM119" s="87">
        <v>6</v>
      </c>
      <c r="BN119" s="87">
        <v>1</v>
      </c>
      <c r="BO119" s="93">
        <f t="shared" si="150"/>
        <v>2.021336327905671</v>
      </c>
      <c r="BP119" s="92">
        <f t="shared" si="151"/>
        <v>406.29667551005076</v>
      </c>
      <c r="BQ119" s="118"/>
      <c r="BR119" s="92">
        <v>375</v>
      </c>
      <c r="BS119" s="92">
        <f t="shared" si="152"/>
        <v>40</v>
      </c>
      <c r="BT119" s="92">
        <f t="shared" si="153"/>
        <v>0.6666666666666666</v>
      </c>
      <c r="BU119" s="92">
        <f t="shared" si="154"/>
        <v>1.44</v>
      </c>
      <c r="BV119" s="92">
        <v>8</v>
      </c>
      <c r="BW119" s="92">
        <v>6</v>
      </c>
      <c r="BX119" s="92">
        <v>1</v>
      </c>
      <c r="BY119" s="93">
        <f t="shared" si="155"/>
        <v>2.021336327905671</v>
      </c>
      <c r="BZ119" s="73">
        <f t="shared" si="156"/>
        <v>582.0766707411188</v>
      </c>
      <c r="CA119" s="118"/>
      <c r="CB119" s="92">
        <v>783</v>
      </c>
      <c r="CC119" s="92">
        <f t="shared" si="157"/>
        <v>40</v>
      </c>
      <c r="CD119" s="92">
        <f t="shared" si="158"/>
        <v>0.6666666666666666</v>
      </c>
      <c r="CE119" s="92">
        <f t="shared" si="159"/>
        <v>1.44</v>
      </c>
      <c r="CF119" s="92">
        <v>8</v>
      </c>
      <c r="CG119" s="92">
        <v>6</v>
      </c>
      <c r="CH119" s="92">
        <v>4</v>
      </c>
      <c r="CI119" s="93">
        <f t="shared" si="160"/>
        <v>1.6697588126159555</v>
      </c>
      <c r="CJ119" s="73">
        <f t="shared" si="161"/>
        <v>513.9343978626541</v>
      </c>
      <c r="CK119" s="118"/>
      <c r="CL119" s="92">
        <v>353</v>
      </c>
      <c r="CM119" s="92">
        <f t="shared" si="162"/>
        <v>40</v>
      </c>
      <c r="CN119" s="92">
        <f t="shared" si="163"/>
        <v>0.6666666666666666</v>
      </c>
      <c r="CO119" s="92">
        <f t="shared" si="164"/>
        <v>1.44</v>
      </c>
      <c r="CP119" s="92">
        <v>8</v>
      </c>
      <c r="CQ119" s="92">
        <v>6</v>
      </c>
      <c r="CR119" s="92">
        <v>1</v>
      </c>
      <c r="CS119" s="93">
        <f t="shared" si="165"/>
        <v>2.021336327905671</v>
      </c>
      <c r="CT119" s="73">
        <f t="shared" si="202"/>
        <v>722.3743028105456</v>
      </c>
      <c r="CU119" s="118"/>
      <c r="CV119" s="92">
        <v>472</v>
      </c>
      <c r="CW119" s="92">
        <f t="shared" si="167"/>
        <v>40</v>
      </c>
      <c r="CX119" s="92">
        <f t="shared" si="168"/>
        <v>0.6666666666666666</v>
      </c>
      <c r="CY119" s="92">
        <f t="shared" si="192"/>
        <v>1.44</v>
      </c>
      <c r="CZ119" s="92">
        <v>8</v>
      </c>
      <c r="DA119" s="92">
        <v>6</v>
      </c>
      <c r="DB119" s="92">
        <v>1</v>
      </c>
      <c r="DC119" s="93">
        <f t="shared" si="169"/>
        <v>2.021336327905671</v>
      </c>
      <c r="DD119" s="73">
        <f t="shared" si="203"/>
        <v>658.8388242226667</v>
      </c>
      <c r="DE119" s="118"/>
      <c r="DF119" s="73">
        <v>1888</v>
      </c>
      <c r="DG119" s="73">
        <f t="shared" si="171"/>
        <v>40</v>
      </c>
      <c r="DH119" s="73">
        <f t="shared" si="172"/>
        <v>0.6666666666666666</v>
      </c>
      <c r="DI119" s="73">
        <f t="shared" si="173"/>
        <v>1.44</v>
      </c>
      <c r="DJ119" s="92">
        <v>8</v>
      </c>
      <c r="DK119" s="92">
        <v>6</v>
      </c>
      <c r="DL119" s="92">
        <v>1</v>
      </c>
      <c r="DM119" s="93">
        <f t="shared" si="174"/>
        <v>2.021336327905671</v>
      </c>
      <c r="DN119" s="73">
        <f t="shared" si="204"/>
        <v>668.5276304612353</v>
      </c>
      <c r="DO119" s="118"/>
      <c r="DP119" s="92">
        <v>445</v>
      </c>
      <c r="DQ119" s="73">
        <f t="shared" si="176"/>
        <v>40</v>
      </c>
      <c r="DR119" s="92">
        <f t="shared" si="177"/>
        <v>18.75</v>
      </c>
      <c r="DS119" s="73">
        <f t="shared" si="178"/>
        <v>1.44</v>
      </c>
      <c r="DT119" s="92">
        <v>8</v>
      </c>
      <c r="DU119" s="92">
        <v>6</v>
      </c>
      <c r="DV119" s="92">
        <v>1</v>
      </c>
      <c r="DW119" s="93">
        <f t="shared" si="179"/>
        <v>16.46843549862763</v>
      </c>
      <c r="DX119" s="92">
        <f t="shared" si="180"/>
        <v>2369.150558375322</v>
      </c>
      <c r="DY119" s="118"/>
      <c r="DZ119" s="73">
        <v>587</v>
      </c>
      <c r="EA119" s="92">
        <f t="shared" si="181"/>
        <v>40</v>
      </c>
      <c r="EB119" s="92">
        <f t="shared" si="182"/>
        <v>0.6666666666666666</v>
      </c>
      <c r="EC119" s="92">
        <f t="shared" si="183"/>
        <v>1.44</v>
      </c>
      <c r="ED119" s="92">
        <v>8</v>
      </c>
      <c r="EE119" s="92">
        <v>6</v>
      </c>
      <c r="EF119" s="92">
        <v>1</v>
      </c>
      <c r="EG119" s="93">
        <f t="shared" si="184"/>
        <v>2.021336327905671</v>
      </c>
      <c r="EH119" s="92">
        <f t="shared" si="185"/>
        <v>586.2441765855003</v>
      </c>
      <c r="EI119" s="118"/>
      <c r="EJ119" s="92">
        <v>450</v>
      </c>
      <c r="EK119" s="73">
        <f t="shared" si="193"/>
        <v>1.6666666666666667</v>
      </c>
      <c r="EL119" s="73">
        <f t="shared" si="194"/>
        <v>0.6666666666666666</v>
      </c>
      <c r="EM119" s="73">
        <f t="shared" si="195"/>
        <v>0.576</v>
      </c>
      <c r="EN119" s="92">
        <v>8</v>
      </c>
      <c r="EO119" s="92">
        <v>6</v>
      </c>
      <c r="EP119" s="92">
        <v>1</v>
      </c>
      <c r="EQ119" s="93">
        <f t="shared" si="186"/>
        <v>1.2873234400143037</v>
      </c>
      <c r="ER119" s="73">
        <f t="shared" si="211"/>
        <v>586.6574291400126</v>
      </c>
      <c r="ES119" s="118"/>
      <c r="ET119" s="142">
        <v>0</v>
      </c>
      <c r="EU119" s="142">
        <v>0</v>
      </c>
      <c r="EV119" s="142">
        <v>6</v>
      </c>
      <c r="EW119" s="142">
        <v>39.8</v>
      </c>
      <c r="EX119" s="142">
        <v>0</v>
      </c>
      <c r="EY119" s="142">
        <v>0</v>
      </c>
      <c r="EZ119" s="142">
        <v>0</v>
      </c>
      <c r="FA119" s="142">
        <v>4.8</v>
      </c>
      <c r="FB119" s="142">
        <v>49.4</v>
      </c>
      <c r="FC119" s="92">
        <f t="shared" si="188"/>
        <v>613.7325914757448</v>
      </c>
      <c r="FE119" s="142">
        <v>611</v>
      </c>
      <c r="FF119" s="167">
        <f t="shared" si="196"/>
        <v>40</v>
      </c>
      <c r="FG119" s="167">
        <f t="shared" si="197"/>
        <v>0.6666666666666666</v>
      </c>
      <c r="FH119" s="167">
        <f t="shared" si="199"/>
        <v>1.44</v>
      </c>
      <c r="FI119" s="167">
        <v>8</v>
      </c>
      <c r="FJ119" s="167">
        <v>6</v>
      </c>
      <c r="FK119" s="142">
        <v>1</v>
      </c>
      <c r="FL119" s="142">
        <f t="shared" si="198"/>
        <v>2.021336327905671</v>
      </c>
      <c r="FM119" s="142">
        <f t="shared" si="207"/>
        <v>555.8674901740595</v>
      </c>
    </row>
    <row r="120" spans="1:169" s="4" customFormat="1" ht="17.25">
      <c r="A120" s="105">
        <v>113</v>
      </c>
      <c r="B120" s="94" t="s">
        <v>491</v>
      </c>
      <c r="C120" s="75">
        <v>1</v>
      </c>
      <c r="D120" s="94">
        <v>2</v>
      </c>
      <c r="E120" s="72">
        <v>500</v>
      </c>
      <c r="F120" s="75">
        <v>1800</v>
      </c>
      <c r="G120" s="72">
        <v>1200</v>
      </c>
      <c r="H120" s="94">
        <v>16</v>
      </c>
      <c r="I120" s="72">
        <v>4</v>
      </c>
      <c r="J120" s="94">
        <v>4</v>
      </c>
      <c r="K120" s="94">
        <v>4</v>
      </c>
      <c r="L120" s="100" t="s">
        <v>30</v>
      </c>
      <c r="M120" s="94">
        <v>16</v>
      </c>
      <c r="N120" s="100" t="s">
        <v>30</v>
      </c>
      <c r="O120" s="94" t="s">
        <v>21</v>
      </c>
      <c r="P120" s="77">
        <f t="shared" si="213"/>
        <v>16.408162770067623</v>
      </c>
      <c r="Q120" s="78">
        <f t="shared" si="200"/>
        <v>519.0108803185775</v>
      </c>
      <c r="R120" s="78">
        <f t="shared" si="191"/>
        <v>452.8819762122599</v>
      </c>
      <c r="S120" s="89">
        <v>256</v>
      </c>
      <c r="T120" s="24" t="s">
        <v>26</v>
      </c>
      <c r="U120" s="24" t="s">
        <v>26</v>
      </c>
      <c r="V120" s="94" t="s">
        <v>55</v>
      </c>
      <c r="W120" s="94" t="s">
        <v>27</v>
      </c>
      <c r="X120" s="94" t="s">
        <v>28</v>
      </c>
      <c r="Y120" s="94" t="s">
        <v>28</v>
      </c>
      <c r="Z120" s="95" t="s">
        <v>28</v>
      </c>
      <c r="AA120" s="95" t="s">
        <v>560</v>
      </c>
      <c r="AB120" s="94">
        <v>10</v>
      </c>
      <c r="AC120" s="96">
        <v>2</v>
      </c>
      <c r="AD120" s="97"/>
      <c r="AE120" s="98" t="s">
        <v>47</v>
      </c>
      <c r="AF120" s="99">
        <v>80</v>
      </c>
      <c r="AG120" s="94"/>
      <c r="AH120" s="91"/>
      <c r="AI120" s="87">
        <f t="shared" si="214"/>
        <v>2</v>
      </c>
      <c r="AJ120" s="91">
        <f t="shared" si="215"/>
        <v>2</v>
      </c>
      <c r="AK120" s="91">
        <f t="shared" si="216"/>
        <v>2</v>
      </c>
      <c r="AL120" s="87">
        <f t="shared" si="139"/>
        <v>6.4</v>
      </c>
      <c r="AM120" s="91">
        <f>H120*F120/10000</f>
        <v>2.88</v>
      </c>
      <c r="AN120" s="92">
        <f t="shared" si="210"/>
        <v>1</v>
      </c>
      <c r="AO120" s="87">
        <v>2</v>
      </c>
      <c r="AP120" s="87">
        <v>1</v>
      </c>
      <c r="AQ120" s="87">
        <v>1</v>
      </c>
      <c r="AR120" s="87">
        <v>5</v>
      </c>
      <c r="AS120" s="87">
        <v>5</v>
      </c>
      <c r="AT120" s="87">
        <v>1</v>
      </c>
      <c r="AU120" s="87">
        <v>1.3</v>
      </c>
      <c r="AV120" s="87">
        <v>1</v>
      </c>
      <c r="AW120" s="87">
        <f t="shared" si="217"/>
        <v>2</v>
      </c>
      <c r="AX120" s="87">
        <f t="shared" si="218"/>
        <v>2</v>
      </c>
      <c r="AY120" s="91">
        <f t="shared" si="219"/>
        <v>4.682926829268294</v>
      </c>
      <c r="AZ120" s="91">
        <f t="shared" si="220"/>
        <v>3.459007832898173</v>
      </c>
      <c r="BA120" s="91"/>
      <c r="BB120" s="73">
        <v>0.02</v>
      </c>
      <c r="BC120" s="73">
        <f t="shared" si="221"/>
        <v>3.389827676240209</v>
      </c>
      <c r="BD120" s="73">
        <v>4.840412061378459</v>
      </c>
      <c r="BE120" s="87">
        <v>5.7504095289176105</v>
      </c>
      <c r="BF120" s="42"/>
      <c r="BG120" s="42"/>
      <c r="BH120" s="92">
        <v>548</v>
      </c>
      <c r="BI120" s="92">
        <f t="shared" si="147"/>
        <v>40</v>
      </c>
      <c r="BJ120" s="92">
        <f t="shared" si="148"/>
        <v>0.5333333333333333</v>
      </c>
      <c r="BK120" s="87">
        <f t="shared" si="149"/>
        <v>1.44</v>
      </c>
      <c r="BL120" s="87">
        <v>8</v>
      </c>
      <c r="BM120" s="87">
        <v>6</v>
      </c>
      <c r="BN120" s="87">
        <v>1</v>
      </c>
      <c r="BO120" s="93">
        <f t="shared" si="150"/>
        <v>1.6468435498627632</v>
      </c>
      <c r="BP120" s="92">
        <f t="shared" si="151"/>
        <v>325.6402890443938</v>
      </c>
      <c r="BQ120" s="42"/>
      <c r="BR120" s="92">
        <v>375</v>
      </c>
      <c r="BS120" s="92">
        <f t="shared" si="152"/>
        <v>40</v>
      </c>
      <c r="BT120" s="92">
        <f t="shared" si="153"/>
        <v>0.5333333333333333</v>
      </c>
      <c r="BU120" s="92">
        <f t="shared" si="154"/>
        <v>1.44</v>
      </c>
      <c r="BV120" s="92">
        <v>8</v>
      </c>
      <c r="BW120" s="92">
        <v>6</v>
      </c>
      <c r="BX120" s="92">
        <v>1</v>
      </c>
      <c r="BY120" s="93">
        <f t="shared" si="155"/>
        <v>1.6468435498627632</v>
      </c>
      <c r="BZ120" s="73">
        <f t="shared" si="156"/>
        <v>475.20808135922687</v>
      </c>
      <c r="CA120" s="42"/>
      <c r="CB120" s="92">
        <v>783</v>
      </c>
      <c r="CC120" s="92">
        <f t="shared" si="157"/>
        <v>40</v>
      </c>
      <c r="CD120" s="92">
        <f t="shared" si="158"/>
        <v>0.5333333333333333</v>
      </c>
      <c r="CE120" s="92">
        <f t="shared" si="159"/>
        <v>1.44</v>
      </c>
      <c r="CF120" s="92">
        <v>8</v>
      </c>
      <c r="CG120" s="92">
        <v>6</v>
      </c>
      <c r="CH120" s="92">
        <v>4</v>
      </c>
      <c r="CI120" s="93">
        <f t="shared" si="160"/>
        <v>1.405700898086685</v>
      </c>
      <c r="CJ120" s="73">
        <f t="shared" si="161"/>
        <v>428.9521245063061</v>
      </c>
      <c r="CK120" s="42"/>
      <c r="CL120" s="92">
        <v>353</v>
      </c>
      <c r="CM120" s="92">
        <f t="shared" si="162"/>
        <v>40</v>
      </c>
      <c r="CN120" s="92">
        <f t="shared" si="163"/>
        <v>0.5333333333333333</v>
      </c>
      <c r="CO120" s="92">
        <f t="shared" si="164"/>
        <v>1.44</v>
      </c>
      <c r="CP120" s="92">
        <v>8</v>
      </c>
      <c r="CQ120" s="92">
        <v>6</v>
      </c>
      <c r="CR120" s="92">
        <v>1</v>
      </c>
      <c r="CS120" s="93">
        <f t="shared" si="165"/>
        <v>1.6468435498627632</v>
      </c>
      <c r="CT120" s="73">
        <f t="shared" si="202"/>
        <v>592.168957660898</v>
      </c>
      <c r="CU120" s="42"/>
      <c r="CV120" s="92">
        <v>472</v>
      </c>
      <c r="CW120" s="92">
        <f t="shared" si="167"/>
        <v>40</v>
      </c>
      <c r="CX120" s="92">
        <f t="shared" si="168"/>
        <v>0.5333333333333333</v>
      </c>
      <c r="CY120" s="92">
        <f t="shared" si="192"/>
        <v>1.44</v>
      </c>
      <c r="CZ120" s="92">
        <v>8</v>
      </c>
      <c r="DA120" s="92">
        <v>6</v>
      </c>
      <c r="DB120" s="92">
        <v>1</v>
      </c>
      <c r="DC120" s="93">
        <f t="shared" si="169"/>
        <v>1.6468435498627632</v>
      </c>
      <c r="DD120" s="73">
        <f t="shared" si="203"/>
        <v>543.4156224220419</v>
      </c>
      <c r="DE120" s="42"/>
      <c r="DF120" s="73">
        <v>1888</v>
      </c>
      <c r="DG120" s="73">
        <f t="shared" si="171"/>
        <v>40</v>
      </c>
      <c r="DH120" s="73">
        <f t="shared" si="172"/>
        <v>0.5333333333333333</v>
      </c>
      <c r="DI120" s="73">
        <f t="shared" si="173"/>
        <v>1.44</v>
      </c>
      <c r="DJ120" s="92">
        <v>8</v>
      </c>
      <c r="DK120" s="92">
        <v>6</v>
      </c>
      <c r="DL120" s="92">
        <v>1</v>
      </c>
      <c r="DM120" s="93">
        <f t="shared" si="174"/>
        <v>1.6468435498627632</v>
      </c>
      <c r="DN120" s="73">
        <f t="shared" si="204"/>
        <v>551.4070286341308</v>
      </c>
      <c r="DO120" s="42"/>
      <c r="DP120" s="92">
        <v>445</v>
      </c>
      <c r="DQ120" s="73">
        <f t="shared" si="176"/>
        <v>40</v>
      </c>
      <c r="DR120" s="92">
        <f t="shared" si="177"/>
        <v>12</v>
      </c>
      <c r="DS120" s="73">
        <f t="shared" si="178"/>
        <v>1.44</v>
      </c>
      <c r="DT120" s="92">
        <v>8</v>
      </c>
      <c r="DU120" s="92">
        <v>6</v>
      </c>
      <c r="DV120" s="92">
        <v>1</v>
      </c>
      <c r="DW120" s="93">
        <f t="shared" si="179"/>
        <v>14.342629482071715</v>
      </c>
      <c r="DX120" s="92">
        <f t="shared" si="180"/>
        <v>2086.272252898996</v>
      </c>
      <c r="DY120" s="42"/>
      <c r="DZ120" s="73">
        <v>587</v>
      </c>
      <c r="EA120" s="92">
        <f t="shared" si="181"/>
        <v>40</v>
      </c>
      <c r="EB120" s="92">
        <f t="shared" si="182"/>
        <v>0.5333333333333333</v>
      </c>
      <c r="EC120" s="92">
        <f t="shared" si="183"/>
        <v>1.44</v>
      </c>
      <c r="ED120" s="92">
        <v>8</v>
      </c>
      <c r="EE120" s="92">
        <v>6</v>
      </c>
      <c r="EF120" s="92">
        <v>1</v>
      </c>
      <c r="EG120" s="93">
        <f t="shared" si="184"/>
        <v>1.6468435498627632</v>
      </c>
      <c r="EH120" s="92">
        <f t="shared" si="185"/>
        <v>472.7624685314425</v>
      </c>
      <c r="EI120" s="42"/>
      <c r="EJ120" s="92">
        <v>450</v>
      </c>
      <c r="EK120" s="73">
        <f t="shared" si="193"/>
        <v>1.6666666666666667</v>
      </c>
      <c r="EL120" s="73">
        <f t="shared" si="194"/>
        <v>0.5333333333333333</v>
      </c>
      <c r="EM120" s="73">
        <f t="shared" si="195"/>
        <v>0.576</v>
      </c>
      <c r="EN120" s="92">
        <v>8</v>
      </c>
      <c r="EO120" s="92">
        <v>6</v>
      </c>
      <c r="EP120" s="92">
        <v>1</v>
      </c>
      <c r="EQ120" s="93">
        <f t="shared" si="186"/>
        <v>1.1244729033265657</v>
      </c>
      <c r="ER120" s="73">
        <f t="shared" si="211"/>
        <v>508.989657975056</v>
      </c>
      <c r="ES120" s="42"/>
      <c r="ET120" s="142">
        <v>0</v>
      </c>
      <c r="EU120" s="142">
        <v>0</v>
      </c>
      <c r="EV120" s="142">
        <v>6</v>
      </c>
      <c r="EW120" s="142">
        <v>39.8</v>
      </c>
      <c r="EX120" s="142">
        <v>0</v>
      </c>
      <c r="EY120" s="142">
        <v>0</v>
      </c>
      <c r="EZ120" s="142">
        <v>0</v>
      </c>
      <c r="FA120" s="142">
        <v>4.8</v>
      </c>
      <c r="FB120" s="142">
        <v>49.4</v>
      </c>
      <c r="FC120" s="92">
        <f t="shared" si="188"/>
        <v>519.0108803185775</v>
      </c>
      <c r="FE120" s="142">
        <v>611</v>
      </c>
      <c r="FF120" s="167">
        <f t="shared" si="196"/>
        <v>40</v>
      </c>
      <c r="FG120" s="167">
        <f t="shared" si="197"/>
        <v>0.5333333333333333</v>
      </c>
      <c r="FH120" s="167">
        <f t="shared" si="199"/>
        <v>1.44</v>
      </c>
      <c r="FI120" s="167">
        <v>8</v>
      </c>
      <c r="FJ120" s="167">
        <v>6</v>
      </c>
      <c r="FK120" s="142">
        <v>1</v>
      </c>
      <c r="FL120" s="142">
        <f t="shared" si="198"/>
        <v>1.6468435498627632</v>
      </c>
      <c r="FM120" s="142">
        <f t="shared" si="207"/>
        <v>452.8819762122599</v>
      </c>
    </row>
    <row r="121" spans="1:159" s="4" customFormat="1" ht="17.25">
      <c r="A121" s="105">
        <v>114</v>
      </c>
      <c r="B121" s="94" t="s">
        <v>492</v>
      </c>
      <c r="C121" s="75">
        <v>2</v>
      </c>
      <c r="D121" s="94">
        <v>4</v>
      </c>
      <c r="E121" s="75">
        <v>500</v>
      </c>
      <c r="F121" s="75">
        <v>1200</v>
      </c>
      <c r="G121" s="94">
        <f aca="true" t="shared" si="223" ref="G121:G151">E121</f>
        <v>500</v>
      </c>
      <c r="H121" s="94">
        <v>256</v>
      </c>
      <c r="I121" s="72">
        <f aca="true" t="shared" si="224" ref="I121:I142">J121</f>
        <v>24</v>
      </c>
      <c r="J121" s="94">
        <v>24</v>
      </c>
      <c r="K121" s="94">
        <v>16</v>
      </c>
      <c r="L121" s="100" t="s">
        <v>453</v>
      </c>
      <c r="M121" s="94">
        <v>24</v>
      </c>
      <c r="N121" s="100" t="s">
        <v>453</v>
      </c>
      <c r="O121" s="94">
        <v>8</v>
      </c>
      <c r="P121" s="77">
        <f t="shared" si="213"/>
        <v>142.21505211985615</v>
      </c>
      <c r="Q121" s="78"/>
      <c r="R121" s="78"/>
      <c r="S121" s="89">
        <v>512</v>
      </c>
      <c r="T121" s="102">
        <v>50</v>
      </c>
      <c r="U121" s="102">
        <v>130</v>
      </c>
      <c r="V121" s="94" t="s">
        <v>55</v>
      </c>
      <c r="W121" s="94" t="s">
        <v>42</v>
      </c>
      <c r="X121" s="14" t="s">
        <v>41</v>
      </c>
      <c r="Y121" s="94" t="s">
        <v>40</v>
      </c>
      <c r="Z121" s="95">
        <v>9</v>
      </c>
      <c r="AA121" s="124" t="s">
        <v>559</v>
      </c>
      <c r="AB121" s="94" t="s">
        <v>454</v>
      </c>
      <c r="AC121" s="96">
        <v>3</v>
      </c>
      <c r="AD121" s="97">
        <v>196</v>
      </c>
      <c r="AE121" s="98">
        <f aca="true" t="shared" si="225" ref="AE121:AE127">278*C121</f>
        <v>556</v>
      </c>
      <c r="AF121" s="99">
        <v>90</v>
      </c>
      <c r="AG121" s="94"/>
      <c r="AH121" s="91"/>
      <c r="AI121" s="87">
        <f t="shared" si="214"/>
        <v>12</v>
      </c>
      <c r="AJ121" s="91">
        <f t="shared" si="215"/>
        <v>12</v>
      </c>
      <c r="AK121" s="91">
        <f t="shared" si="216"/>
        <v>8</v>
      </c>
      <c r="AL121" s="87">
        <f aca="true" t="shared" si="226" ref="AL121:AL151">M121*G121/1200</f>
        <v>10</v>
      </c>
      <c r="AM121" s="92">
        <f aca="true" t="shared" si="227" ref="AM121:AM138">H121*F121/(7400+AC121*200)</f>
        <v>38.4</v>
      </c>
      <c r="AN121" s="92">
        <f>POWER(INT(MIN(C121,D121)/2)*2,0.6)+LN(INT(MIN(C121,D121)/2)*2)*0.3</f>
        <v>1.7236607206783816</v>
      </c>
      <c r="AO121" s="87">
        <v>2</v>
      </c>
      <c r="AP121" s="87">
        <v>1</v>
      </c>
      <c r="AQ121" s="87">
        <v>1</v>
      </c>
      <c r="AR121" s="87">
        <v>5</v>
      </c>
      <c r="AS121" s="87">
        <v>5</v>
      </c>
      <c r="AT121" s="87">
        <v>1</v>
      </c>
      <c r="AU121" s="87">
        <v>1.3</v>
      </c>
      <c r="AV121" s="87">
        <v>1</v>
      </c>
      <c r="AW121" s="87">
        <f t="shared" si="217"/>
        <v>12</v>
      </c>
      <c r="AX121" s="87">
        <f t="shared" si="218"/>
        <v>11.076923076923077</v>
      </c>
      <c r="AY121" s="91">
        <f t="shared" si="219"/>
        <v>10.16470588235294</v>
      </c>
      <c r="AZ121" s="91">
        <f t="shared" si="220"/>
        <v>29.980381480368315</v>
      </c>
      <c r="BA121" s="91"/>
      <c r="BB121" s="73">
        <v>0.02</v>
      </c>
      <c r="BC121" s="73">
        <f t="shared" si="221"/>
        <v>29.38077385076095</v>
      </c>
      <c r="BD121" s="73">
        <v>4.840412061378459</v>
      </c>
      <c r="BE121" s="87">
        <v>5.7504095289176105</v>
      </c>
      <c r="BF121" s="42"/>
      <c r="BG121" s="42"/>
      <c r="BH121" s="42"/>
      <c r="BI121" s="42"/>
      <c r="BJ121" s="42"/>
      <c r="BK121" s="42"/>
      <c r="BL121" s="42"/>
      <c r="BM121" s="42"/>
      <c r="BN121" s="42"/>
      <c r="BO121" s="70"/>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92"/>
      <c r="EU121" s="92"/>
      <c r="EV121" s="92"/>
      <c r="EW121" s="92"/>
      <c r="EX121" s="92"/>
      <c r="EY121" s="92"/>
      <c r="EZ121" s="92"/>
      <c r="FA121" s="92"/>
      <c r="FB121" s="92"/>
      <c r="FC121" s="92"/>
    </row>
    <row r="122" spans="1:159" s="4" customFormat="1" ht="17.25">
      <c r="A122" s="105">
        <v>115</v>
      </c>
      <c r="B122" s="94" t="s">
        <v>493</v>
      </c>
      <c r="C122" s="75">
        <v>2</v>
      </c>
      <c r="D122" s="94">
        <v>4</v>
      </c>
      <c r="E122" s="75">
        <v>500</v>
      </c>
      <c r="F122" s="75">
        <v>1200</v>
      </c>
      <c r="G122" s="94">
        <f t="shared" si="223"/>
        <v>500</v>
      </c>
      <c r="H122" s="94">
        <v>256</v>
      </c>
      <c r="I122" s="72">
        <f t="shared" si="224"/>
        <v>24</v>
      </c>
      <c r="J122" s="94">
        <v>24</v>
      </c>
      <c r="K122" s="94">
        <v>16</v>
      </c>
      <c r="L122" s="100" t="s">
        <v>453</v>
      </c>
      <c r="M122" s="94">
        <v>24</v>
      </c>
      <c r="N122" s="100" t="s">
        <v>453</v>
      </c>
      <c r="O122" s="94">
        <v>8</v>
      </c>
      <c r="P122" s="77">
        <f t="shared" si="213"/>
        <v>142.21505211985615</v>
      </c>
      <c r="Q122" s="78"/>
      <c r="R122" s="78"/>
      <c r="S122" s="89">
        <v>512</v>
      </c>
      <c r="T122" s="102">
        <v>50</v>
      </c>
      <c r="U122" s="102">
        <v>130</v>
      </c>
      <c r="V122" s="94" t="s">
        <v>55</v>
      </c>
      <c r="W122" s="94" t="s">
        <v>38</v>
      </c>
      <c r="X122" s="14" t="s">
        <v>494</v>
      </c>
      <c r="Y122" s="94" t="s">
        <v>40</v>
      </c>
      <c r="Z122" s="95">
        <v>12.3</v>
      </c>
      <c r="AA122" s="124" t="s">
        <v>559</v>
      </c>
      <c r="AB122" s="94" t="s">
        <v>454</v>
      </c>
      <c r="AC122" s="96">
        <v>3</v>
      </c>
      <c r="AD122" s="97">
        <v>196</v>
      </c>
      <c r="AE122" s="98">
        <f t="shared" si="225"/>
        <v>556</v>
      </c>
      <c r="AF122" s="99">
        <v>90</v>
      </c>
      <c r="AG122" s="94"/>
      <c r="AH122" s="91"/>
      <c r="AI122" s="87">
        <f t="shared" si="214"/>
        <v>12</v>
      </c>
      <c r="AJ122" s="91">
        <f t="shared" si="215"/>
        <v>12</v>
      </c>
      <c r="AK122" s="91">
        <f t="shared" si="216"/>
        <v>8</v>
      </c>
      <c r="AL122" s="87">
        <f t="shared" si="226"/>
        <v>10</v>
      </c>
      <c r="AM122" s="92">
        <f t="shared" si="227"/>
        <v>38.4</v>
      </c>
      <c r="AN122" s="92">
        <f>POWER(INT(MIN(C122,D122)/2)*2,0.6)+LN(INT(MIN(C122,D122)/2)*2)*0.3</f>
        <v>1.7236607206783816</v>
      </c>
      <c r="AO122" s="87">
        <v>2</v>
      </c>
      <c r="AP122" s="87">
        <v>1</v>
      </c>
      <c r="AQ122" s="87">
        <v>1</v>
      </c>
      <c r="AR122" s="87">
        <v>5</v>
      </c>
      <c r="AS122" s="87">
        <v>5</v>
      </c>
      <c r="AT122" s="87">
        <v>1</v>
      </c>
      <c r="AU122" s="87">
        <v>1.3</v>
      </c>
      <c r="AV122" s="87">
        <v>1</v>
      </c>
      <c r="AW122" s="87">
        <f t="shared" si="217"/>
        <v>12</v>
      </c>
      <c r="AX122" s="87">
        <f t="shared" si="218"/>
        <v>11.076923076923077</v>
      </c>
      <c r="AY122" s="91">
        <f t="shared" si="219"/>
        <v>10.16470588235294</v>
      </c>
      <c r="AZ122" s="91">
        <f t="shared" si="220"/>
        <v>29.980381480368315</v>
      </c>
      <c r="BA122" s="91"/>
      <c r="BB122" s="73">
        <v>0.02</v>
      </c>
      <c r="BC122" s="73">
        <f t="shared" si="221"/>
        <v>29.38077385076095</v>
      </c>
      <c r="BD122" s="73">
        <v>4.840412061378459</v>
      </c>
      <c r="BE122" s="87">
        <v>5.7504095289176105</v>
      </c>
      <c r="BF122" s="42"/>
      <c r="BG122" s="42"/>
      <c r="BH122" s="42"/>
      <c r="BI122" s="42"/>
      <c r="BJ122" s="42"/>
      <c r="BK122" s="42"/>
      <c r="BL122" s="42"/>
      <c r="BM122" s="42"/>
      <c r="BN122" s="42"/>
      <c r="BO122" s="70"/>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92"/>
      <c r="EU122" s="92"/>
      <c r="EV122" s="92"/>
      <c r="EW122" s="92"/>
      <c r="EX122" s="92"/>
      <c r="EY122" s="92"/>
      <c r="EZ122" s="92"/>
      <c r="FA122" s="92"/>
      <c r="FB122" s="92"/>
      <c r="FC122" s="92"/>
    </row>
    <row r="123" spans="1:159" s="4" customFormat="1" ht="17.25">
      <c r="A123" s="105">
        <v>116</v>
      </c>
      <c r="B123" s="94" t="s">
        <v>495</v>
      </c>
      <c r="C123" s="75">
        <v>1</v>
      </c>
      <c r="D123" s="94">
        <v>2</v>
      </c>
      <c r="E123" s="75">
        <v>650</v>
      </c>
      <c r="F123" s="75">
        <v>1600</v>
      </c>
      <c r="G123" s="94">
        <f t="shared" si="223"/>
        <v>650</v>
      </c>
      <c r="H123" s="94">
        <v>256</v>
      </c>
      <c r="I123" s="72">
        <f t="shared" si="224"/>
        <v>24</v>
      </c>
      <c r="J123" s="94">
        <v>24</v>
      </c>
      <c r="K123" s="94">
        <v>16</v>
      </c>
      <c r="L123" s="100" t="s">
        <v>453</v>
      </c>
      <c r="M123" s="94">
        <v>24</v>
      </c>
      <c r="N123" s="100" t="s">
        <v>453</v>
      </c>
      <c r="O123" s="94">
        <v>8</v>
      </c>
      <c r="P123" s="77">
        <f t="shared" si="213"/>
        <v>107.95076905643344</v>
      </c>
      <c r="Q123" s="78"/>
      <c r="R123" s="78"/>
      <c r="S123" s="89">
        <v>512</v>
      </c>
      <c r="T123" s="102">
        <v>30</v>
      </c>
      <c r="U123" s="102">
        <v>85</v>
      </c>
      <c r="V123" s="94" t="s">
        <v>55</v>
      </c>
      <c r="W123" s="94" t="s">
        <v>42</v>
      </c>
      <c r="X123" s="14" t="s">
        <v>41</v>
      </c>
      <c r="Y123" s="94" t="s">
        <v>40</v>
      </c>
      <c r="Z123" s="95">
        <v>9</v>
      </c>
      <c r="AA123" s="124" t="s">
        <v>559</v>
      </c>
      <c r="AB123" s="94" t="s">
        <v>454</v>
      </c>
      <c r="AC123" s="96">
        <v>3</v>
      </c>
      <c r="AD123" s="97">
        <v>196</v>
      </c>
      <c r="AE123" s="98">
        <f t="shared" si="225"/>
        <v>278</v>
      </c>
      <c r="AF123" s="99">
        <v>90</v>
      </c>
      <c r="AG123" s="94"/>
      <c r="AH123" s="91"/>
      <c r="AI123" s="87">
        <f t="shared" si="214"/>
        <v>15.6</v>
      </c>
      <c r="AJ123" s="91">
        <f t="shared" si="215"/>
        <v>15.6</v>
      </c>
      <c r="AK123" s="91">
        <f t="shared" si="216"/>
        <v>10.4</v>
      </c>
      <c r="AL123" s="87">
        <f t="shared" si="226"/>
        <v>13</v>
      </c>
      <c r="AM123" s="92">
        <f t="shared" si="227"/>
        <v>51.2</v>
      </c>
      <c r="AN123" s="92">
        <f aca="true" t="shared" si="228" ref="AN123:AN151">POWER(INT(MIN(C123,D123)),0.6)+LN(INT(MIN(C123,D123)))*0.3</f>
        <v>1</v>
      </c>
      <c r="AO123" s="87">
        <v>2</v>
      </c>
      <c r="AP123" s="87">
        <v>1</v>
      </c>
      <c r="AQ123" s="87">
        <v>1</v>
      </c>
      <c r="AR123" s="87">
        <v>5</v>
      </c>
      <c r="AS123" s="87">
        <v>5</v>
      </c>
      <c r="AT123" s="87">
        <v>1</v>
      </c>
      <c r="AU123" s="87">
        <v>1.3</v>
      </c>
      <c r="AV123" s="87">
        <v>1</v>
      </c>
      <c r="AW123" s="87">
        <f t="shared" si="217"/>
        <v>15.6</v>
      </c>
      <c r="AX123" s="87">
        <f t="shared" si="218"/>
        <v>14.4</v>
      </c>
      <c r="AY123" s="91">
        <f t="shared" si="219"/>
        <v>13.214117647058824</v>
      </c>
      <c r="AZ123" s="91">
        <f t="shared" si="220"/>
        <v>22.75712162087761</v>
      </c>
      <c r="BA123" s="91"/>
      <c r="BB123" s="73">
        <v>0.02</v>
      </c>
      <c r="BC123" s="73">
        <f t="shared" si="221"/>
        <v>22.301979188460056</v>
      </c>
      <c r="BD123" s="73">
        <v>4.840412061378459</v>
      </c>
      <c r="BE123" s="87">
        <v>5.7504095289176105</v>
      </c>
      <c r="BF123" s="42"/>
      <c r="BG123" s="42"/>
      <c r="BH123" s="42"/>
      <c r="BI123" s="42"/>
      <c r="BJ123" s="42"/>
      <c r="BK123" s="42"/>
      <c r="BL123" s="42"/>
      <c r="BM123" s="42"/>
      <c r="BN123" s="42"/>
      <c r="BO123" s="70"/>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92"/>
      <c r="EU123" s="92"/>
      <c r="EV123" s="92"/>
      <c r="EW123" s="92"/>
      <c r="EX123" s="92"/>
      <c r="EY123" s="92"/>
      <c r="EZ123" s="92"/>
      <c r="FA123" s="92"/>
      <c r="FB123" s="92"/>
      <c r="FC123" s="92"/>
    </row>
    <row r="124" spans="1:159" s="4" customFormat="1" ht="17.25">
      <c r="A124" s="105">
        <v>117</v>
      </c>
      <c r="B124" s="94" t="s">
        <v>496</v>
      </c>
      <c r="C124" s="75">
        <v>1</v>
      </c>
      <c r="D124" s="94">
        <v>2</v>
      </c>
      <c r="E124" s="75">
        <v>650</v>
      </c>
      <c r="F124" s="75">
        <v>1320</v>
      </c>
      <c r="G124" s="94">
        <f t="shared" si="223"/>
        <v>650</v>
      </c>
      <c r="H124" s="94">
        <v>256</v>
      </c>
      <c r="I124" s="72">
        <f t="shared" si="224"/>
        <v>24</v>
      </c>
      <c r="J124" s="94">
        <v>24</v>
      </c>
      <c r="K124" s="94">
        <v>16</v>
      </c>
      <c r="L124" s="100" t="s">
        <v>453</v>
      </c>
      <c r="M124" s="94">
        <v>24</v>
      </c>
      <c r="N124" s="100" t="s">
        <v>453</v>
      </c>
      <c r="O124" s="94">
        <v>8</v>
      </c>
      <c r="P124" s="77">
        <f t="shared" si="213"/>
        <v>102.48910854444026</v>
      </c>
      <c r="Q124" s="78"/>
      <c r="R124" s="78"/>
      <c r="S124" s="89">
        <v>512</v>
      </c>
      <c r="T124" s="102">
        <v>30</v>
      </c>
      <c r="U124" s="102">
        <v>85</v>
      </c>
      <c r="V124" s="94" t="s">
        <v>55</v>
      </c>
      <c r="W124" s="94" t="s">
        <v>42</v>
      </c>
      <c r="X124" s="14" t="s">
        <v>41</v>
      </c>
      <c r="Y124" s="94" t="s">
        <v>40</v>
      </c>
      <c r="Z124" s="95">
        <v>9</v>
      </c>
      <c r="AA124" s="124" t="s">
        <v>559</v>
      </c>
      <c r="AB124" s="94" t="s">
        <v>454</v>
      </c>
      <c r="AC124" s="96">
        <v>3</v>
      </c>
      <c r="AD124" s="97">
        <v>196</v>
      </c>
      <c r="AE124" s="98">
        <f t="shared" si="225"/>
        <v>278</v>
      </c>
      <c r="AF124" s="99">
        <v>90</v>
      </c>
      <c r="AG124" s="94"/>
      <c r="AH124" s="91"/>
      <c r="AI124" s="87">
        <f t="shared" si="214"/>
        <v>15.6</v>
      </c>
      <c r="AJ124" s="91">
        <f t="shared" si="215"/>
        <v>15.6</v>
      </c>
      <c r="AK124" s="91">
        <f t="shared" si="216"/>
        <v>10.4</v>
      </c>
      <c r="AL124" s="87">
        <f t="shared" si="226"/>
        <v>13</v>
      </c>
      <c r="AM124" s="92">
        <f t="shared" si="227"/>
        <v>42.24</v>
      </c>
      <c r="AN124" s="92">
        <f t="shared" si="228"/>
        <v>1</v>
      </c>
      <c r="AO124" s="87">
        <v>2</v>
      </c>
      <c r="AP124" s="87">
        <v>1</v>
      </c>
      <c r="AQ124" s="87">
        <v>1</v>
      </c>
      <c r="AR124" s="87">
        <v>5</v>
      </c>
      <c r="AS124" s="87">
        <v>5</v>
      </c>
      <c r="AT124" s="87">
        <v>1</v>
      </c>
      <c r="AU124" s="87">
        <v>1.3</v>
      </c>
      <c r="AV124" s="87">
        <v>1</v>
      </c>
      <c r="AW124" s="87">
        <f t="shared" si="217"/>
        <v>15.6</v>
      </c>
      <c r="AX124" s="87">
        <f t="shared" si="218"/>
        <v>14.4</v>
      </c>
      <c r="AY124" s="91">
        <f t="shared" si="219"/>
        <v>13.214117647058824</v>
      </c>
      <c r="AZ124" s="91">
        <f t="shared" si="220"/>
        <v>21.60574795666223</v>
      </c>
      <c r="BA124" s="91"/>
      <c r="BB124" s="73">
        <v>0.02</v>
      </c>
      <c r="BC124" s="73">
        <f t="shared" si="221"/>
        <v>21.173632997528987</v>
      </c>
      <c r="BD124" s="73">
        <v>4.840412061378459</v>
      </c>
      <c r="BE124" s="87">
        <v>5.7504095289176105</v>
      </c>
      <c r="BF124" s="42"/>
      <c r="BG124" s="42"/>
      <c r="BH124" s="42"/>
      <c r="BI124" s="42"/>
      <c r="BJ124" s="42"/>
      <c r="BK124" s="42"/>
      <c r="BL124" s="42"/>
      <c r="BM124" s="42"/>
      <c r="BN124" s="42"/>
      <c r="BO124" s="70"/>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92"/>
      <c r="EU124" s="92"/>
      <c r="EV124" s="92"/>
      <c r="EW124" s="92"/>
      <c r="EX124" s="92"/>
      <c r="EY124" s="92"/>
      <c r="EZ124" s="92"/>
      <c r="FA124" s="92"/>
      <c r="FB124" s="92"/>
      <c r="FC124" s="92"/>
    </row>
    <row r="125" spans="1:159" s="4" customFormat="1" ht="17.25">
      <c r="A125" s="105">
        <v>118</v>
      </c>
      <c r="B125" s="94" t="s">
        <v>497</v>
      </c>
      <c r="C125" s="75">
        <v>1</v>
      </c>
      <c r="D125" s="94">
        <v>2</v>
      </c>
      <c r="E125" s="75">
        <v>550</v>
      </c>
      <c r="F125" s="75">
        <v>1400</v>
      </c>
      <c r="G125" s="94">
        <f t="shared" si="223"/>
        <v>550</v>
      </c>
      <c r="H125" s="94">
        <v>256</v>
      </c>
      <c r="I125" s="72">
        <f t="shared" si="224"/>
        <v>24</v>
      </c>
      <c r="J125" s="94">
        <v>24</v>
      </c>
      <c r="K125" s="94">
        <v>16</v>
      </c>
      <c r="L125" s="100" t="s">
        <v>453</v>
      </c>
      <c r="M125" s="94">
        <v>24</v>
      </c>
      <c r="N125" s="100" t="s">
        <v>453</v>
      </c>
      <c r="O125" s="94">
        <v>8</v>
      </c>
      <c r="P125" s="77">
        <f t="shared" si="213"/>
        <v>92.10579181246065</v>
      </c>
      <c r="Q125" s="78"/>
      <c r="R125" s="78"/>
      <c r="S125" s="89">
        <v>512</v>
      </c>
      <c r="T125" s="102">
        <v>27</v>
      </c>
      <c r="U125" s="102">
        <v>70</v>
      </c>
      <c r="V125" s="94" t="s">
        <v>55</v>
      </c>
      <c r="W125" s="94" t="s">
        <v>42</v>
      </c>
      <c r="X125" s="14" t="s">
        <v>41</v>
      </c>
      <c r="Y125" s="94" t="s">
        <v>23</v>
      </c>
      <c r="Z125" s="95">
        <v>7.75</v>
      </c>
      <c r="AA125" s="124" t="s">
        <v>559</v>
      </c>
      <c r="AB125" s="94" t="s">
        <v>454</v>
      </c>
      <c r="AC125" s="96">
        <v>3</v>
      </c>
      <c r="AD125" s="97">
        <v>196</v>
      </c>
      <c r="AE125" s="98">
        <f t="shared" si="225"/>
        <v>278</v>
      </c>
      <c r="AF125" s="99">
        <v>90</v>
      </c>
      <c r="AG125" s="94"/>
      <c r="AH125" s="91"/>
      <c r="AI125" s="87">
        <f t="shared" si="214"/>
        <v>13.2</v>
      </c>
      <c r="AJ125" s="91">
        <f t="shared" si="215"/>
        <v>13.2</v>
      </c>
      <c r="AK125" s="91">
        <f t="shared" si="216"/>
        <v>8.8</v>
      </c>
      <c r="AL125" s="87">
        <f t="shared" si="226"/>
        <v>11</v>
      </c>
      <c r="AM125" s="92">
        <f t="shared" si="227"/>
        <v>44.8</v>
      </c>
      <c r="AN125" s="92">
        <f t="shared" si="228"/>
        <v>1</v>
      </c>
      <c r="AO125" s="87">
        <v>2</v>
      </c>
      <c r="AP125" s="87">
        <v>1</v>
      </c>
      <c r="AQ125" s="87">
        <v>1</v>
      </c>
      <c r="AR125" s="87">
        <v>5</v>
      </c>
      <c r="AS125" s="87">
        <v>5</v>
      </c>
      <c r="AT125" s="87">
        <v>1</v>
      </c>
      <c r="AU125" s="87">
        <v>1.3</v>
      </c>
      <c r="AV125" s="87">
        <v>1</v>
      </c>
      <c r="AW125" s="87">
        <f t="shared" si="217"/>
        <v>13.2</v>
      </c>
      <c r="AX125" s="87">
        <f t="shared" si="218"/>
        <v>12.184615384615382</v>
      </c>
      <c r="AY125" s="91">
        <f t="shared" si="219"/>
        <v>11.181176470588236</v>
      </c>
      <c r="AZ125" s="91">
        <f t="shared" si="220"/>
        <v>19.416839033056274</v>
      </c>
      <c r="BA125" s="91"/>
      <c r="BB125" s="73">
        <v>0.02</v>
      </c>
      <c r="BC125" s="73">
        <f t="shared" si="221"/>
        <v>19.028502252395146</v>
      </c>
      <c r="BD125" s="73">
        <v>4.840412061378459</v>
      </c>
      <c r="BE125" s="87">
        <v>5.7504095289176105</v>
      </c>
      <c r="BF125" s="42"/>
      <c r="BG125" s="42"/>
      <c r="BH125" s="42"/>
      <c r="BI125" s="42"/>
      <c r="BJ125" s="42"/>
      <c r="BK125" s="42"/>
      <c r="BL125" s="42"/>
      <c r="BM125" s="42"/>
      <c r="BN125" s="42"/>
      <c r="BO125" s="70"/>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92"/>
      <c r="EU125" s="92"/>
      <c r="EV125" s="92"/>
      <c r="EW125" s="92"/>
      <c r="EX125" s="92"/>
      <c r="EY125" s="92"/>
      <c r="EZ125" s="92"/>
      <c r="FA125" s="92"/>
      <c r="FB125" s="92"/>
      <c r="FC125" s="92"/>
    </row>
    <row r="126" spans="1:159" s="4" customFormat="1" ht="17.25">
      <c r="A126" s="105">
        <v>119</v>
      </c>
      <c r="B126" s="94" t="s">
        <v>498</v>
      </c>
      <c r="C126" s="75">
        <v>1</v>
      </c>
      <c r="D126" s="94">
        <v>2</v>
      </c>
      <c r="E126" s="75">
        <v>450</v>
      </c>
      <c r="F126" s="75">
        <v>1320</v>
      </c>
      <c r="G126" s="94">
        <f t="shared" si="223"/>
        <v>450</v>
      </c>
      <c r="H126" s="94">
        <v>256</v>
      </c>
      <c r="I126" s="72">
        <f t="shared" si="224"/>
        <v>24</v>
      </c>
      <c r="J126" s="94">
        <v>24</v>
      </c>
      <c r="K126" s="94">
        <v>16</v>
      </c>
      <c r="L126" s="100" t="s">
        <v>453</v>
      </c>
      <c r="M126" s="94">
        <v>24</v>
      </c>
      <c r="N126" s="100" t="s">
        <v>453</v>
      </c>
      <c r="O126" s="94">
        <v>8</v>
      </c>
      <c r="P126" s="77">
        <f t="shared" si="213"/>
        <v>77.88211655572552</v>
      </c>
      <c r="Q126" s="78"/>
      <c r="R126" s="78"/>
      <c r="S126" s="89">
        <v>256</v>
      </c>
      <c r="T126" s="102">
        <v>23</v>
      </c>
      <c r="U126" s="102">
        <v>60</v>
      </c>
      <c r="V126" s="94" t="s">
        <v>55</v>
      </c>
      <c r="W126" s="94" t="s">
        <v>42</v>
      </c>
      <c r="X126" s="14" t="s">
        <v>41</v>
      </c>
      <c r="Y126" s="94" t="s">
        <v>23</v>
      </c>
      <c r="Z126" s="95">
        <v>7.75</v>
      </c>
      <c r="AA126" s="124" t="s">
        <v>559</v>
      </c>
      <c r="AB126" s="94" t="s">
        <v>454</v>
      </c>
      <c r="AC126" s="96">
        <v>3</v>
      </c>
      <c r="AD126" s="97">
        <v>196</v>
      </c>
      <c r="AE126" s="98">
        <f t="shared" si="225"/>
        <v>278</v>
      </c>
      <c r="AF126" s="99">
        <v>90</v>
      </c>
      <c r="AG126" s="94"/>
      <c r="AH126" s="91"/>
      <c r="AI126" s="87">
        <f t="shared" si="214"/>
        <v>10.8</v>
      </c>
      <c r="AJ126" s="91">
        <f t="shared" si="215"/>
        <v>10.8</v>
      </c>
      <c r="AK126" s="91">
        <f t="shared" si="216"/>
        <v>7.2</v>
      </c>
      <c r="AL126" s="87">
        <f t="shared" si="226"/>
        <v>9</v>
      </c>
      <c r="AM126" s="92">
        <f t="shared" si="227"/>
        <v>42.24</v>
      </c>
      <c r="AN126" s="92">
        <f t="shared" si="228"/>
        <v>1</v>
      </c>
      <c r="AO126" s="87">
        <v>2</v>
      </c>
      <c r="AP126" s="87">
        <v>1</v>
      </c>
      <c r="AQ126" s="87">
        <v>1</v>
      </c>
      <c r="AR126" s="87">
        <v>5</v>
      </c>
      <c r="AS126" s="87">
        <v>5</v>
      </c>
      <c r="AT126" s="87">
        <v>1</v>
      </c>
      <c r="AU126" s="87">
        <v>1.3</v>
      </c>
      <c r="AV126" s="87">
        <v>1</v>
      </c>
      <c r="AW126" s="87">
        <f t="shared" si="217"/>
        <v>10.8</v>
      </c>
      <c r="AX126" s="87">
        <f t="shared" si="218"/>
        <v>9.969230769230773</v>
      </c>
      <c r="AY126" s="91">
        <f t="shared" si="219"/>
        <v>9.148235294117647</v>
      </c>
      <c r="AZ126" s="91">
        <f t="shared" si="220"/>
        <v>16.41834341748383</v>
      </c>
      <c r="BA126" s="91"/>
      <c r="BB126" s="73">
        <v>0.02</v>
      </c>
      <c r="BC126" s="73">
        <f t="shared" si="221"/>
        <v>16.089976549134153</v>
      </c>
      <c r="BD126" s="73">
        <v>4.840412061378459</v>
      </c>
      <c r="BE126" s="87">
        <v>5.7504095289176105</v>
      </c>
      <c r="BF126" s="42"/>
      <c r="BG126" s="42"/>
      <c r="BH126" s="42"/>
      <c r="BI126" s="42"/>
      <c r="BJ126" s="42"/>
      <c r="BK126" s="42"/>
      <c r="BL126" s="42"/>
      <c r="BM126" s="42"/>
      <c r="BN126" s="42"/>
      <c r="BO126" s="70"/>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92"/>
      <c r="EU126" s="92"/>
      <c r="EV126" s="92"/>
      <c r="EW126" s="92"/>
      <c r="EX126" s="92"/>
      <c r="EY126" s="92"/>
      <c r="EZ126" s="92"/>
      <c r="FA126" s="92"/>
      <c r="FB126" s="92"/>
      <c r="FC126" s="92"/>
    </row>
    <row r="127" spans="1:159" s="4" customFormat="1" ht="17.25">
      <c r="A127" s="105">
        <v>120</v>
      </c>
      <c r="B127" s="94" t="s">
        <v>499</v>
      </c>
      <c r="C127" s="75">
        <v>1</v>
      </c>
      <c r="D127" s="94">
        <v>2</v>
      </c>
      <c r="E127" s="75">
        <v>450</v>
      </c>
      <c r="F127" s="75">
        <v>1320</v>
      </c>
      <c r="G127" s="94">
        <f t="shared" si="223"/>
        <v>450</v>
      </c>
      <c r="H127" s="94">
        <v>256</v>
      </c>
      <c r="I127" s="72">
        <f t="shared" si="224"/>
        <v>20</v>
      </c>
      <c r="J127" s="94">
        <v>20</v>
      </c>
      <c r="K127" s="94">
        <v>16</v>
      </c>
      <c r="L127" s="100" t="s">
        <v>453</v>
      </c>
      <c r="M127" s="94">
        <v>20</v>
      </c>
      <c r="N127" s="100" t="s">
        <v>453</v>
      </c>
      <c r="O127" s="94">
        <v>7</v>
      </c>
      <c r="P127" s="77">
        <f t="shared" si="213"/>
        <v>67.69103555137134</v>
      </c>
      <c r="Q127" s="78"/>
      <c r="R127" s="78"/>
      <c r="S127" s="89">
        <v>256</v>
      </c>
      <c r="T127" s="102">
        <v>20</v>
      </c>
      <c r="U127" s="102">
        <v>55</v>
      </c>
      <c r="V127" s="94" t="s">
        <v>55</v>
      </c>
      <c r="W127" s="94" t="s">
        <v>42</v>
      </c>
      <c r="X127" s="14" t="s">
        <v>41</v>
      </c>
      <c r="Y127" s="94" t="s">
        <v>23</v>
      </c>
      <c r="Z127" s="95">
        <v>7.75</v>
      </c>
      <c r="AA127" s="124" t="s">
        <v>559</v>
      </c>
      <c r="AB127" s="94" t="s">
        <v>454</v>
      </c>
      <c r="AC127" s="96">
        <v>3</v>
      </c>
      <c r="AD127" s="97">
        <v>196</v>
      </c>
      <c r="AE127" s="98">
        <f t="shared" si="225"/>
        <v>278</v>
      </c>
      <c r="AF127" s="99">
        <v>90</v>
      </c>
      <c r="AG127" s="94"/>
      <c r="AH127" s="91"/>
      <c r="AI127" s="87">
        <f t="shared" si="214"/>
        <v>9</v>
      </c>
      <c r="AJ127" s="91">
        <f t="shared" si="215"/>
        <v>9</v>
      </c>
      <c r="AK127" s="91">
        <f t="shared" si="216"/>
        <v>7.2</v>
      </c>
      <c r="AL127" s="87">
        <f t="shared" si="226"/>
        <v>7.5</v>
      </c>
      <c r="AM127" s="92">
        <f t="shared" si="227"/>
        <v>42.24</v>
      </c>
      <c r="AN127" s="92">
        <f t="shared" si="228"/>
        <v>1</v>
      </c>
      <c r="AO127" s="87">
        <v>2</v>
      </c>
      <c r="AP127" s="87">
        <v>1</v>
      </c>
      <c r="AQ127" s="87">
        <v>1</v>
      </c>
      <c r="AR127" s="87">
        <v>5</v>
      </c>
      <c r="AS127" s="87">
        <v>5</v>
      </c>
      <c r="AT127" s="87">
        <v>1</v>
      </c>
      <c r="AU127" s="87">
        <v>1.3</v>
      </c>
      <c r="AV127" s="87">
        <v>1</v>
      </c>
      <c r="AW127" s="87">
        <f t="shared" si="217"/>
        <v>9</v>
      </c>
      <c r="AX127" s="87">
        <f t="shared" si="218"/>
        <v>8.64</v>
      </c>
      <c r="AY127" s="91">
        <f t="shared" si="219"/>
        <v>7.668639053254439</v>
      </c>
      <c r="AZ127" s="91">
        <f t="shared" si="220"/>
        <v>14.269959743227071</v>
      </c>
      <c r="BA127" s="91"/>
      <c r="BB127" s="73">
        <v>0.02</v>
      </c>
      <c r="BC127" s="73">
        <f t="shared" si="221"/>
        <v>13.984560548362529</v>
      </c>
      <c r="BD127" s="73">
        <v>4.840412061378459</v>
      </c>
      <c r="BE127" s="87">
        <v>5.7504095289176105</v>
      </c>
      <c r="BF127" s="42"/>
      <c r="BG127" s="42"/>
      <c r="BH127" s="42"/>
      <c r="BI127" s="42"/>
      <c r="BJ127" s="42"/>
      <c r="BK127" s="42"/>
      <c r="BL127" s="42"/>
      <c r="BM127" s="42"/>
      <c r="BN127" s="42"/>
      <c r="BO127" s="70"/>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row>
    <row r="128" spans="1:159" s="4" customFormat="1" ht="17.25">
      <c r="A128" s="105">
        <v>121</v>
      </c>
      <c r="B128" s="94" t="s">
        <v>500</v>
      </c>
      <c r="C128" s="72">
        <v>1</v>
      </c>
      <c r="D128" s="72">
        <v>1</v>
      </c>
      <c r="E128" s="72">
        <v>550</v>
      </c>
      <c r="F128" s="72">
        <v>1400</v>
      </c>
      <c r="G128" s="94">
        <f t="shared" si="223"/>
        <v>550</v>
      </c>
      <c r="H128" s="94">
        <v>128</v>
      </c>
      <c r="I128" s="72">
        <f t="shared" si="224"/>
        <v>24</v>
      </c>
      <c r="J128" s="94">
        <v>24</v>
      </c>
      <c r="K128" s="94">
        <v>8</v>
      </c>
      <c r="L128" s="100" t="s">
        <v>453</v>
      </c>
      <c r="M128" s="94">
        <v>24</v>
      </c>
      <c r="N128" s="100" t="s">
        <v>453</v>
      </c>
      <c r="O128" s="94">
        <v>8</v>
      </c>
      <c r="P128" s="77">
        <f t="shared" si="213"/>
        <v>72.43186232692308</v>
      </c>
      <c r="Q128" s="78">
        <v>2700</v>
      </c>
      <c r="R128" s="78"/>
      <c r="S128" s="89">
        <v>256</v>
      </c>
      <c r="T128" s="102" t="s">
        <v>47</v>
      </c>
      <c r="U128" s="102" t="s">
        <v>47</v>
      </c>
      <c r="V128" s="94" t="s">
        <v>28</v>
      </c>
      <c r="W128" s="94" t="s">
        <v>28</v>
      </c>
      <c r="X128" s="94" t="s">
        <v>28</v>
      </c>
      <c r="Y128" s="94" t="s">
        <v>28</v>
      </c>
      <c r="Z128" s="95" t="s">
        <v>28</v>
      </c>
      <c r="AA128" s="95" t="s">
        <v>560</v>
      </c>
      <c r="AB128" s="94" t="s">
        <v>454</v>
      </c>
      <c r="AC128" s="96">
        <v>3</v>
      </c>
      <c r="AD128" s="97"/>
      <c r="AE128" s="98">
        <v>300</v>
      </c>
      <c r="AF128" s="99">
        <v>90</v>
      </c>
      <c r="AG128" s="94"/>
      <c r="AH128" s="91"/>
      <c r="AI128" s="87">
        <f t="shared" si="214"/>
        <v>13.2</v>
      </c>
      <c r="AJ128" s="91">
        <f t="shared" si="215"/>
        <v>13.2</v>
      </c>
      <c r="AK128" s="91">
        <f t="shared" si="216"/>
        <v>4.4</v>
      </c>
      <c r="AL128" s="87">
        <f t="shared" si="226"/>
        <v>11</v>
      </c>
      <c r="AM128" s="92">
        <f t="shared" si="227"/>
        <v>22.4</v>
      </c>
      <c r="AN128" s="92">
        <f t="shared" si="228"/>
        <v>1</v>
      </c>
      <c r="AO128" s="87">
        <v>2</v>
      </c>
      <c r="AP128" s="87">
        <v>1</v>
      </c>
      <c r="AQ128" s="87">
        <v>1</v>
      </c>
      <c r="AR128" s="87">
        <v>5</v>
      </c>
      <c r="AS128" s="87">
        <v>5</v>
      </c>
      <c r="AT128" s="87">
        <v>1</v>
      </c>
      <c r="AU128" s="87">
        <v>1.3</v>
      </c>
      <c r="AV128" s="87">
        <v>1</v>
      </c>
      <c r="AW128" s="87">
        <f t="shared" si="217"/>
        <v>13.2</v>
      </c>
      <c r="AX128" s="87">
        <f t="shared" si="218"/>
        <v>9.899999999999999</v>
      </c>
      <c r="AY128" s="91">
        <f t="shared" si="219"/>
        <v>10.799999999999999</v>
      </c>
      <c r="AZ128" s="91">
        <f t="shared" si="220"/>
        <v>15.269374313940721</v>
      </c>
      <c r="BA128" s="91"/>
      <c r="BB128" s="73">
        <v>0.02</v>
      </c>
      <c r="BC128" s="73">
        <f t="shared" si="221"/>
        <v>14.963986827661907</v>
      </c>
      <c r="BD128" s="73">
        <v>4.840412061378459</v>
      </c>
      <c r="BE128" s="87">
        <v>5.7504095289176105</v>
      </c>
      <c r="BF128" s="42"/>
      <c r="BG128" s="42"/>
      <c r="BH128" s="42"/>
      <c r="BI128" s="42"/>
      <c r="BJ128" s="42"/>
      <c r="BK128" s="42"/>
      <c r="BL128" s="42"/>
      <c r="BM128" s="42"/>
      <c r="BN128" s="42"/>
      <c r="BO128" s="70"/>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row>
    <row r="129" spans="1:159" s="4" customFormat="1" ht="17.25">
      <c r="A129" s="105">
        <v>122</v>
      </c>
      <c r="B129" s="94" t="s">
        <v>501</v>
      </c>
      <c r="C129" s="75">
        <v>1</v>
      </c>
      <c r="D129" s="94">
        <v>2</v>
      </c>
      <c r="E129" s="75">
        <v>550</v>
      </c>
      <c r="F129" s="75">
        <v>1700</v>
      </c>
      <c r="G129" s="94">
        <f t="shared" si="223"/>
        <v>550</v>
      </c>
      <c r="H129" s="94">
        <v>256</v>
      </c>
      <c r="I129" s="72">
        <f t="shared" si="224"/>
        <v>24</v>
      </c>
      <c r="J129" s="94">
        <v>24</v>
      </c>
      <c r="K129" s="94">
        <v>16</v>
      </c>
      <c r="L129" s="100" t="s">
        <v>453</v>
      </c>
      <c r="M129" s="94">
        <v>24</v>
      </c>
      <c r="N129" s="100" t="s">
        <v>453</v>
      </c>
      <c r="O129" s="94">
        <v>8</v>
      </c>
      <c r="P129" s="77">
        <f t="shared" si="213"/>
        <v>96.26746429100102</v>
      </c>
      <c r="Q129" s="78"/>
      <c r="R129" s="78"/>
      <c r="S129" s="89">
        <v>512</v>
      </c>
      <c r="T129" s="102">
        <v>30</v>
      </c>
      <c r="U129" s="102">
        <v>110</v>
      </c>
      <c r="V129" s="94" t="s">
        <v>55</v>
      </c>
      <c r="W129" s="94" t="s">
        <v>42</v>
      </c>
      <c r="X129" s="14" t="s">
        <v>41</v>
      </c>
      <c r="Y129" s="94" t="s">
        <v>40</v>
      </c>
      <c r="Z129" s="95">
        <v>9</v>
      </c>
      <c r="AA129" s="124" t="s">
        <v>559</v>
      </c>
      <c r="AB129" s="94" t="s">
        <v>454</v>
      </c>
      <c r="AC129" s="96">
        <v>3</v>
      </c>
      <c r="AD129" s="97">
        <v>346</v>
      </c>
      <c r="AE129" s="98">
        <f>320*C129</f>
        <v>320</v>
      </c>
      <c r="AF129" s="99">
        <v>110</v>
      </c>
      <c r="AG129" s="94"/>
      <c r="AH129" s="91"/>
      <c r="AI129" s="87">
        <f t="shared" si="214"/>
        <v>13.2</v>
      </c>
      <c r="AJ129" s="91">
        <f t="shared" si="215"/>
        <v>13.2</v>
      </c>
      <c r="AK129" s="91">
        <f t="shared" si="216"/>
        <v>8.8</v>
      </c>
      <c r="AL129" s="87">
        <f t="shared" si="226"/>
        <v>11</v>
      </c>
      <c r="AM129" s="92">
        <f t="shared" si="227"/>
        <v>54.4</v>
      </c>
      <c r="AN129" s="92">
        <f t="shared" si="228"/>
        <v>1</v>
      </c>
      <c r="AO129" s="87">
        <v>2</v>
      </c>
      <c r="AP129" s="87">
        <v>1</v>
      </c>
      <c r="AQ129" s="87">
        <v>1</v>
      </c>
      <c r="AR129" s="87">
        <v>5</v>
      </c>
      <c r="AS129" s="87">
        <v>5</v>
      </c>
      <c r="AT129" s="87">
        <v>1</v>
      </c>
      <c r="AU129" s="87">
        <v>1.3</v>
      </c>
      <c r="AV129" s="87">
        <v>1</v>
      </c>
      <c r="AW129" s="87">
        <f t="shared" si="217"/>
        <v>13.2</v>
      </c>
      <c r="AX129" s="87">
        <f t="shared" si="218"/>
        <v>12.184615384615382</v>
      </c>
      <c r="AY129" s="91">
        <f t="shared" si="219"/>
        <v>11.181176470588236</v>
      </c>
      <c r="AZ129" s="91">
        <f t="shared" si="220"/>
        <v>20.29416197913822</v>
      </c>
      <c r="BA129" s="91"/>
      <c r="BB129" s="73">
        <v>0.02</v>
      </c>
      <c r="BC129" s="73">
        <f t="shared" si="221"/>
        <v>19.888278739555457</v>
      </c>
      <c r="BD129" s="73">
        <v>4.840412061378459</v>
      </c>
      <c r="BE129" s="87">
        <v>5.7504095289176105</v>
      </c>
      <c r="BF129" s="42"/>
      <c r="BG129" s="42"/>
      <c r="BH129" s="42"/>
      <c r="BI129" s="42"/>
      <c r="BJ129" s="42"/>
      <c r="BK129" s="42"/>
      <c r="BL129" s="42"/>
      <c r="BM129" s="42"/>
      <c r="BN129" s="42"/>
      <c r="BO129" s="70"/>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row>
    <row r="130" spans="1:159" s="4" customFormat="1" ht="17.25">
      <c r="A130" s="105">
        <v>123</v>
      </c>
      <c r="B130" s="94" t="s">
        <v>502</v>
      </c>
      <c r="C130" s="75">
        <v>1</v>
      </c>
      <c r="D130" s="94">
        <v>2</v>
      </c>
      <c r="E130" s="75">
        <v>430</v>
      </c>
      <c r="F130" s="75">
        <v>1200</v>
      </c>
      <c r="G130" s="94">
        <f t="shared" si="223"/>
        <v>430</v>
      </c>
      <c r="H130" s="94">
        <v>256</v>
      </c>
      <c r="I130" s="72">
        <f t="shared" si="224"/>
        <v>24</v>
      </c>
      <c r="J130" s="94">
        <v>24</v>
      </c>
      <c r="K130" s="94">
        <v>16</v>
      </c>
      <c r="L130" s="100" t="s">
        <v>453</v>
      </c>
      <c r="M130" s="94">
        <v>24</v>
      </c>
      <c r="N130" s="100" t="s">
        <v>453</v>
      </c>
      <c r="O130" s="94">
        <v>8</v>
      </c>
      <c r="P130" s="77">
        <f t="shared" si="213"/>
        <v>73.59430783720492</v>
      </c>
      <c r="Q130" s="78"/>
      <c r="R130" s="78"/>
      <c r="S130" s="89">
        <v>256</v>
      </c>
      <c r="T130" s="102">
        <v>30</v>
      </c>
      <c r="U130" s="102">
        <v>95</v>
      </c>
      <c r="V130" s="94" t="s">
        <v>55</v>
      </c>
      <c r="W130" s="94" t="s">
        <v>42</v>
      </c>
      <c r="X130" s="14" t="s">
        <v>41</v>
      </c>
      <c r="Y130" s="94" t="s">
        <v>23</v>
      </c>
      <c r="Z130" s="95">
        <v>8.5</v>
      </c>
      <c r="AA130" s="124" t="s">
        <v>559</v>
      </c>
      <c r="AB130" s="94" t="s">
        <v>454</v>
      </c>
      <c r="AC130" s="96">
        <v>3</v>
      </c>
      <c r="AD130" s="97">
        <v>346</v>
      </c>
      <c r="AE130" s="98">
        <f>320*C130</f>
        <v>320</v>
      </c>
      <c r="AF130" s="99">
        <v>110</v>
      </c>
      <c r="AG130" s="94"/>
      <c r="AH130" s="91"/>
      <c r="AI130" s="87">
        <f t="shared" si="214"/>
        <v>10.32</v>
      </c>
      <c r="AJ130" s="91">
        <f t="shared" si="215"/>
        <v>10.32</v>
      </c>
      <c r="AK130" s="91">
        <f t="shared" si="216"/>
        <v>6.88</v>
      </c>
      <c r="AL130" s="87">
        <f t="shared" si="226"/>
        <v>8.6</v>
      </c>
      <c r="AM130" s="92">
        <f t="shared" si="227"/>
        <v>38.4</v>
      </c>
      <c r="AN130" s="92">
        <f t="shared" si="228"/>
        <v>1</v>
      </c>
      <c r="AO130" s="87">
        <v>2</v>
      </c>
      <c r="AP130" s="87">
        <v>1</v>
      </c>
      <c r="AQ130" s="87">
        <v>1</v>
      </c>
      <c r="AR130" s="87">
        <v>5</v>
      </c>
      <c r="AS130" s="87">
        <v>5</v>
      </c>
      <c r="AT130" s="87">
        <v>1</v>
      </c>
      <c r="AU130" s="87">
        <v>1.3</v>
      </c>
      <c r="AV130" s="87">
        <v>1</v>
      </c>
      <c r="AW130" s="87">
        <f t="shared" si="217"/>
        <v>10.32</v>
      </c>
      <c r="AX130" s="87">
        <f t="shared" si="218"/>
        <v>9.526153846153846</v>
      </c>
      <c r="AY130" s="91">
        <f t="shared" si="219"/>
        <v>8.74164705882353</v>
      </c>
      <c r="AZ130" s="91">
        <f t="shared" si="220"/>
        <v>15.514429667287002</v>
      </c>
      <c r="BA130" s="91"/>
      <c r="BB130" s="73">
        <v>0.02</v>
      </c>
      <c r="BC130" s="73">
        <f t="shared" si="221"/>
        <v>15.204141073941262</v>
      </c>
      <c r="BD130" s="73">
        <v>4.840412061378459</v>
      </c>
      <c r="BE130" s="87">
        <v>5.7504095289176105</v>
      </c>
      <c r="BF130" s="42"/>
      <c r="BG130" s="42"/>
      <c r="BH130" s="42"/>
      <c r="BI130" s="42"/>
      <c r="BJ130" s="42"/>
      <c r="BK130" s="42"/>
      <c r="BL130" s="42"/>
      <c r="BM130" s="42"/>
      <c r="BN130" s="42"/>
      <c r="BO130" s="70"/>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row>
    <row r="131" spans="1:159" s="4" customFormat="1" ht="17.25">
      <c r="A131" s="105">
        <v>124</v>
      </c>
      <c r="B131" s="94" t="s">
        <v>503</v>
      </c>
      <c r="C131" s="75">
        <v>1</v>
      </c>
      <c r="D131" s="94">
        <v>2</v>
      </c>
      <c r="E131" s="75">
        <v>400</v>
      </c>
      <c r="F131" s="75">
        <v>1000</v>
      </c>
      <c r="G131" s="94">
        <f t="shared" si="223"/>
        <v>400</v>
      </c>
      <c r="H131" s="94">
        <v>256</v>
      </c>
      <c r="I131" s="72">
        <f t="shared" si="224"/>
        <v>20</v>
      </c>
      <c r="J131" s="94">
        <v>20</v>
      </c>
      <c r="K131" s="94">
        <v>16</v>
      </c>
      <c r="L131" s="100" t="s">
        <v>453</v>
      </c>
      <c r="M131" s="94">
        <v>24</v>
      </c>
      <c r="N131" s="100" t="s">
        <v>453</v>
      </c>
      <c r="O131" s="94">
        <v>7</v>
      </c>
      <c r="P131" s="77">
        <f t="shared" si="213"/>
        <v>65.5299931275902</v>
      </c>
      <c r="Q131" s="78"/>
      <c r="R131" s="78"/>
      <c r="S131" s="89">
        <v>256</v>
      </c>
      <c r="T131" s="102">
        <v>20</v>
      </c>
      <c r="U131" s="102">
        <v>70</v>
      </c>
      <c r="V131" s="94" t="s">
        <v>55</v>
      </c>
      <c r="W131" s="94" t="s">
        <v>42</v>
      </c>
      <c r="X131" s="14" t="s">
        <v>41</v>
      </c>
      <c r="Y131" s="94" t="s">
        <v>23</v>
      </c>
      <c r="Z131" s="95">
        <v>7.75</v>
      </c>
      <c r="AA131" s="124" t="s">
        <v>559</v>
      </c>
      <c r="AB131" s="94" t="s">
        <v>454</v>
      </c>
      <c r="AC131" s="96">
        <v>3</v>
      </c>
      <c r="AD131" s="97">
        <v>346</v>
      </c>
      <c r="AE131" s="98">
        <f>320*C131</f>
        <v>320</v>
      </c>
      <c r="AF131" s="99">
        <v>110</v>
      </c>
      <c r="AG131" s="94"/>
      <c r="AH131" s="91"/>
      <c r="AI131" s="87">
        <f t="shared" si="214"/>
        <v>8</v>
      </c>
      <c r="AJ131" s="91">
        <f t="shared" si="215"/>
        <v>8</v>
      </c>
      <c r="AK131" s="91">
        <f t="shared" si="216"/>
        <v>6.4</v>
      </c>
      <c r="AL131" s="87">
        <f t="shared" si="226"/>
        <v>8</v>
      </c>
      <c r="AM131" s="92">
        <f t="shared" si="227"/>
        <v>32</v>
      </c>
      <c r="AN131" s="92">
        <f t="shared" si="228"/>
        <v>1</v>
      </c>
      <c r="AO131" s="87">
        <v>2</v>
      </c>
      <c r="AP131" s="87">
        <v>1</v>
      </c>
      <c r="AQ131" s="87">
        <v>1</v>
      </c>
      <c r="AR131" s="87">
        <v>5</v>
      </c>
      <c r="AS131" s="87">
        <v>5</v>
      </c>
      <c r="AT131" s="87">
        <v>1</v>
      </c>
      <c r="AU131" s="87">
        <v>1.3</v>
      </c>
      <c r="AV131" s="87">
        <v>1</v>
      </c>
      <c r="AW131" s="87">
        <f t="shared" si="217"/>
        <v>8</v>
      </c>
      <c r="AX131" s="87">
        <f t="shared" si="218"/>
        <v>7.6800000000000015</v>
      </c>
      <c r="AY131" s="91">
        <f t="shared" si="219"/>
        <v>7.944827586206897</v>
      </c>
      <c r="AZ131" s="91">
        <f t="shared" si="220"/>
        <v>13.814389989572472</v>
      </c>
      <c r="BA131" s="91"/>
      <c r="BB131" s="73">
        <v>0.02</v>
      </c>
      <c r="BC131" s="73">
        <f t="shared" si="221"/>
        <v>13.538102189781023</v>
      </c>
      <c r="BD131" s="73">
        <v>4.840412061378459</v>
      </c>
      <c r="BE131" s="87">
        <v>5.7504095289176105</v>
      </c>
      <c r="BF131" s="42"/>
      <c r="BG131" s="42"/>
      <c r="BH131" s="42"/>
      <c r="BI131" s="42"/>
      <c r="BJ131" s="42"/>
      <c r="BK131" s="42"/>
      <c r="BL131" s="42"/>
      <c r="BM131" s="42"/>
      <c r="BN131" s="42"/>
      <c r="BO131" s="70"/>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row>
    <row r="132" spans="1:159" s="4" customFormat="1" ht="17.25">
      <c r="A132" s="105">
        <v>125</v>
      </c>
      <c r="B132" s="94" t="s">
        <v>504</v>
      </c>
      <c r="C132" s="75">
        <v>1</v>
      </c>
      <c r="D132" s="94">
        <v>2</v>
      </c>
      <c r="E132" s="75">
        <v>560</v>
      </c>
      <c r="F132" s="75">
        <v>1400</v>
      </c>
      <c r="G132" s="94">
        <f t="shared" si="223"/>
        <v>560</v>
      </c>
      <c r="H132" s="94">
        <v>128</v>
      </c>
      <c r="I132" s="72">
        <f t="shared" si="224"/>
        <v>12</v>
      </c>
      <c r="J132" s="94">
        <v>12</v>
      </c>
      <c r="K132" s="94">
        <v>8</v>
      </c>
      <c r="L132" s="100" t="s">
        <v>453</v>
      </c>
      <c r="M132" s="94">
        <v>12</v>
      </c>
      <c r="N132" s="100" t="s">
        <v>453</v>
      </c>
      <c r="O132" s="94">
        <v>5</v>
      </c>
      <c r="P132" s="77">
        <f t="shared" si="213"/>
        <v>46.682296837514635</v>
      </c>
      <c r="Q132" s="78"/>
      <c r="R132" s="78"/>
      <c r="S132" s="89">
        <v>256</v>
      </c>
      <c r="T132" s="102">
        <v>15</v>
      </c>
      <c r="U132" s="102">
        <v>40</v>
      </c>
      <c r="V132" s="94" t="s">
        <v>55</v>
      </c>
      <c r="W132" s="94" t="s">
        <v>27</v>
      </c>
      <c r="X132" s="94" t="s">
        <v>28</v>
      </c>
      <c r="Y132" s="94" t="s">
        <v>23</v>
      </c>
      <c r="Z132" s="95">
        <v>6.88</v>
      </c>
      <c r="AA132" s="124" t="s">
        <v>559</v>
      </c>
      <c r="AB132" s="94" t="s">
        <v>454</v>
      </c>
      <c r="AC132" s="96">
        <v>3</v>
      </c>
      <c r="AD132" s="97">
        <v>125</v>
      </c>
      <c r="AE132" s="98">
        <f>177*C132</f>
        <v>177</v>
      </c>
      <c r="AF132" s="99">
        <v>90</v>
      </c>
      <c r="AG132" s="94"/>
      <c r="AH132" s="91"/>
      <c r="AI132" s="87">
        <f t="shared" si="214"/>
        <v>6.72</v>
      </c>
      <c r="AJ132" s="91">
        <f t="shared" si="215"/>
        <v>6.72</v>
      </c>
      <c r="AK132" s="91">
        <f t="shared" si="216"/>
        <v>4.48</v>
      </c>
      <c r="AL132" s="87">
        <f t="shared" si="226"/>
        <v>5.6</v>
      </c>
      <c r="AM132" s="92">
        <f t="shared" si="227"/>
        <v>22.4</v>
      </c>
      <c r="AN132" s="92">
        <f t="shared" si="228"/>
        <v>1</v>
      </c>
      <c r="AO132" s="87">
        <v>2</v>
      </c>
      <c r="AP132" s="87">
        <v>1</v>
      </c>
      <c r="AQ132" s="87">
        <v>1</v>
      </c>
      <c r="AR132" s="87">
        <v>5</v>
      </c>
      <c r="AS132" s="87">
        <v>5</v>
      </c>
      <c r="AT132" s="87">
        <v>1</v>
      </c>
      <c r="AU132" s="87">
        <v>1.3</v>
      </c>
      <c r="AV132" s="87">
        <v>1</v>
      </c>
      <c r="AW132" s="87">
        <f t="shared" si="217"/>
        <v>6.719999999999999</v>
      </c>
      <c r="AX132" s="87">
        <f t="shared" si="218"/>
        <v>6.203076923076922</v>
      </c>
      <c r="AY132" s="91">
        <f t="shared" si="219"/>
        <v>5.692235294117648</v>
      </c>
      <c r="AZ132" s="91">
        <f t="shared" si="220"/>
        <v>9.841103643438274</v>
      </c>
      <c r="BA132" s="91"/>
      <c r="BB132" s="73">
        <v>0.02</v>
      </c>
      <c r="BC132" s="73">
        <f t="shared" si="221"/>
        <v>9.644281570569508</v>
      </c>
      <c r="BD132" s="73">
        <v>4.840412061378459</v>
      </c>
      <c r="BE132" s="87">
        <v>5.7504095289176105</v>
      </c>
      <c r="BF132" s="42"/>
      <c r="BG132" s="42"/>
      <c r="BH132" s="42"/>
      <c r="BI132" s="42"/>
      <c r="BJ132" s="42"/>
      <c r="BK132" s="42"/>
      <c r="BL132" s="42"/>
      <c r="BM132" s="42"/>
      <c r="BN132" s="42"/>
      <c r="BO132" s="70"/>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row>
    <row r="133" spans="1:159" s="4" customFormat="1" ht="17.25">
      <c r="A133" s="105">
        <v>126</v>
      </c>
      <c r="B133" s="94" t="s">
        <v>22</v>
      </c>
      <c r="C133" s="75">
        <v>1</v>
      </c>
      <c r="D133" s="94">
        <v>2</v>
      </c>
      <c r="E133" s="75">
        <v>400</v>
      </c>
      <c r="F133" s="75">
        <v>800</v>
      </c>
      <c r="G133" s="94">
        <f t="shared" si="223"/>
        <v>400</v>
      </c>
      <c r="H133" s="94">
        <v>128</v>
      </c>
      <c r="I133" s="72">
        <f t="shared" si="224"/>
        <v>12</v>
      </c>
      <c r="J133" s="94">
        <v>12</v>
      </c>
      <c r="K133" s="94">
        <v>8</v>
      </c>
      <c r="L133" s="100" t="s">
        <v>453</v>
      </c>
      <c r="M133" s="94">
        <v>12</v>
      </c>
      <c r="N133" s="100" t="s">
        <v>453</v>
      </c>
      <c r="O133" s="94">
        <v>5</v>
      </c>
      <c r="P133" s="77">
        <f t="shared" si="213"/>
        <v>31.626545363178423</v>
      </c>
      <c r="Q133" s="78"/>
      <c r="R133" s="78"/>
      <c r="S133" s="89">
        <v>256</v>
      </c>
      <c r="T133" s="102">
        <v>14</v>
      </c>
      <c r="U133" s="102">
        <v>35</v>
      </c>
      <c r="V133" s="94" t="s">
        <v>55</v>
      </c>
      <c r="W133" s="94" t="s">
        <v>27</v>
      </c>
      <c r="X133" s="94" t="s">
        <v>28</v>
      </c>
      <c r="Y133" s="94" t="s">
        <v>23</v>
      </c>
      <c r="Z133" s="95" t="s">
        <v>430</v>
      </c>
      <c r="AA133" s="124" t="s">
        <v>559</v>
      </c>
      <c r="AB133" s="94" t="s">
        <v>454</v>
      </c>
      <c r="AC133" s="96">
        <v>2</v>
      </c>
      <c r="AD133" s="97">
        <v>125</v>
      </c>
      <c r="AE133" s="98">
        <f>177*C133</f>
        <v>177</v>
      </c>
      <c r="AF133" s="99">
        <v>90</v>
      </c>
      <c r="AG133" s="94"/>
      <c r="AH133" s="91"/>
      <c r="AI133" s="87">
        <f t="shared" si="214"/>
        <v>4.8</v>
      </c>
      <c r="AJ133" s="91">
        <f t="shared" si="215"/>
        <v>4.8</v>
      </c>
      <c r="AK133" s="91">
        <f t="shared" si="216"/>
        <v>3.2</v>
      </c>
      <c r="AL133" s="87">
        <f t="shared" si="226"/>
        <v>4</v>
      </c>
      <c r="AM133" s="92">
        <f t="shared" si="227"/>
        <v>13.128205128205128</v>
      </c>
      <c r="AN133" s="92">
        <f t="shared" si="228"/>
        <v>1</v>
      </c>
      <c r="AO133" s="87">
        <v>2</v>
      </c>
      <c r="AP133" s="87">
        <v>1</v>
      </c>
      <c r="AQ133" s="87">
        <v>1</v>
      </c>
      <c r="AR133" s="87">
        <v>5</v>
      </c>
      <c r="AS133" s="87">
        <v>5</v>
      </c>
      <c r="AT133" s="87">
        <v>1</v>
      </c>
      <c r="AU133" s="87">
        <v>1.3</v>
      </c>
      <c r="AV133" s="87">
        <v>1</v>
      </c>
      <c r="AW133" s="87">
        <f t="shared" si="217"/>
        <v>4.800000000000001</v>
      </c>
      <c r="AX133" s="87">
        <f t="shared" si="218"/>
        <v>4.430769230769232</v>
      </c>
      <c r="AY133" s="91">
        <f t="shared" si="219"/>
        <v>4.065882352941176</v>
      </c>
      <c r="AZ133" s="91">
        <f t="shared" si="220"/>
        <v>6.667197886305018</v>
      </c>
      <c r="BA133" s="91"/>
      <c r="BB133" s="73">
        <v>0.02</v>
      </c>
      <c r="BC133" s="73">
        <f t="shared" si="221"/>
        <v>6.5338539285789174</v>
      </c>
      <c r="BD133" s="73">
        <v>4.840412061378459</v>
      </c>
      <c r="BE133" s="87">
        <v>5.7504095289176105</v>
      </c>
      <c r="BF133" s="42"/>
      <c r="BG133" s="42"/>
      <c r="BH133" s="42"/>
      <c r="BI133" s="42"/>
      <c r="BJ133" s="42"/>
      <c r="BK133" s="42"/>
      <c r="BL133" s="42"/>
      <c r="BM133" s="42"/>
      <c r="BN133" s="42"/>
      <c r="BO133" s="70"/>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row>
    <row r="134" spans="1:159" s="4" customFormat="1" ht="17.25">
      <c r="A134" s="105">
        <v>127</v>
      </c>
      <c r="B134" s="94" t="s">
        <v>505</v>
      </c>
      <c r="C134" s="75">
        <v>1</v>
      </c>
      <c r="D134" s="94">
        <v>2</v>
      </c>
      <c r="E134" s="75">
        <v>350</v>
      </c>
      <c r="F134" s="75">
        <v>666</v>
      </c>
      <c r="G134" s="94">
        <f t="shared" si="223"/>
        <v>350</v>
      </c>
      <c r="H134" s="94">
        <v>128</v>
      </c>
      <c r="I134" s="72">
        <f t="shared" si="224"/>
        <v>8</v>
      </c>
      <c r="J134" s="94">
        <v>8</v>
      </c>
      <c r="K134" s="94">
        <v>4</v>
      </c>
      <c r="L134" s="100" t="s">
        <v>453</v>
      </c>
      <c r="M134" s="94">
        <v>8</v>
      </c>
      <c r="N134" s="100" t="s">
        <v>453</v>
      </c>
      <c r="O134" s="94">
        <v>5</v>
      </c>
      <c r="P134" s="77">
        <f t="shared" si="213"/>
        <v>19.99926918108248</v>
      </c>
      <c r="Q134" s="78"/>
      <c r="R134" s="78"/>
      <c r="S134" s="89">
        <v>256</v>
      </c>
      <c r="T134" s="102">
        <v>13</v>
      </c>
      <c r="U134" s="102">
        <v>30</v>
      </c>
      <c r="V134" s="94" t="s">
        <v>55</v>
      </c>
      <c r="W134" s="94" t="s">
        <v>27</v>
      </c>
      <c r="X134" s="94" t="s">
        <v>28</v>
      </c>
      <c r="Y134" s="94" t="s">
        <v>23</v>
      </c>
      <c r="Z134" s="95" t="s">
        <v>430</v>
      </c>
      <c r="AA134" s="124" t="s">
        <v>559</v>
      </c>
      <c r="AB134" s="94" t="s">
        <v>454</v>
      </c>
      <c r="AC134" s="96">
        <v>2</v>
      </c>
      <c r="AD134" s="97">
        <v>125</v>
      </c>
      <c r="AE134" s="98">
        <f>177*C134</f>
        <v>177</v>
      </c>
      <c r="AF134" s="99">
        <v>90</v>
      </c>
      <c r="AG134" s="94"/>
      <c r="AH134" s="91"/>
      <c r="AI134" s="87">
        <f t="shared" si="214"/>
        <v>2.8</v>
      </c>
      <c r="AJ134" s="91">
        <f t="shared" si="215"/>
        <v>2.8</v>
      </c>
      <c r="AK134" s="91">
        <f t="shared" si="216"/>
        <v>1.4</v>
      </c>
      <c r="AL134" s="87">
        <f t="shared" si="226"/>
        <v>2.3333333333333335</v>
      </c>
      <c r="AM134" s="92">
        <f t="shared" si="227"/>
        <v>10.929230769230768</v>
      </c>
      <c r="AN134" s="92">
        <f t="shared" si="228"/>
        <v>1</v>
      </c>
      <c r="AO134" s="87">
        <v>2</v>
      </c>
      <c r="AP134" s="87">
        <v>1</v>
      </c>
      <c r="AQ134" s="87">
        <v>1</v>
      </c>
      <c r="AR134" s="87">
        <v>5</v>
      </c>
      <c r="AS134" s="87">
        <v>5</v>
      </c>
      <c r="AT134" s="87">
        <v>1</v>
      </c>
      <c r="AU134" s="87">
        <v>1.3</v>
      </c>
      <c r="AV134" s="87">
        <v>1</v>
      </c>
      <c r="AW134" s="87">
        <f t="shared" si="217"/>
        <v>2.8</v>
      </c>
      <c r="AX134" s="87">
        <f t="shared" si="218"/>
        <v>2.3999999999999995</v>
      </c>
      <c r="AY134" s="91">
        <f t="shared" si="219"/>
        <v>2.344186046511628</v>
      </c>
      <c r="AZ134" s="91">
        <f t="shared" si="220"/>
        <v>4.216049640597161</v>
      </c>
      <c r="BA134" s="91"/>
      <c r="BB134" s="73">
        <v>0.02</v>
      </c>
      <c r="BC134" s="73">
        <f t="shared" si="221"/>
        <v>4.131728647785217</v>
      </c>
      <c r="BD134" s="73">
        <v>4.840412061378459</v>
      </c>
      <c r="BE134" s="87">
        <v>5.7504095289176105</v>
      </c>
      <c r="BF134" s="42"/>
      <c r="BG134" s="42"/>
      <c r="BH134" s="42"/>
      <c r="BI134" s="42"/>
      <c r="BJ134" s="42"/>
      <c r="BK134" s="42"/>
      <c r="BL134" s="42"/>
      <c r="BM134" s="42"/>
      <c r="BN134" s="42"/>
      <c r="BO134" s="70"/>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row>
    <row r="135" spans="1:159" s="4" customFormat="1" ht="17.25">
      <c r="A135" s="105">
        <v>128</v>
      </c>
      <c r="B135" s="94" t="s">
        <v>506</v>
      </c>
      <c r="C135" s="75">
        <v>1</v>
      </c>
      <c r="D135" s="94">
        <v>2</v>
      </c>
      <c r="E135" s="75">
        <v>550</v>
      </c>
      <c r="F135" s="75">
        <v>810</v>
      </c>
      <c r="G135" s="94">
        <f t="shared" si="223"/>
        <v>550</v>
      </c>
      <c r="H135" s="94">
        <v>64</v>
      </c>
      <c r="I135" s="72">
        <f t="shared" si="224"/>
        <v>4</v>
      </c>
      <c r="J135" s="94">
        <v>4</v>
      </c>
      <c r="K135" s="94">
        <v>2</v>
      </c>
      <c r="L135" s="100" t="s">
        <v>453</v>
      </c>
      <c r="M135" s="94">
        <v>4</v>
      </c>
      <c r="N135" s="100" t="s">
        <v>453</v>
      </c>
      <c r="O135" s="94">
        <v>5</v>
      </c>
      <c r="P135" s="77">
        <f t="shared" si="213"/>
        <v>14.772956920564516</v>
      </c>
      <c r="Q135" s="78"/>
      <c r="R135" s="78"/>
      <c r="S135" s="89">
        <v>256</v>
      </c>
      <c r="T135" s="102">
        <v>10</v>
      </c>
      <c r="U135" s="102">
        <v>18</v>
      </c>
      <c r="V135" s="94" t="s">
        <v>55</v>
      </c>
      <c r="W135" s="94" t="s">
        <v>27</v>
      </c>
      <c r="X135" s="94" t="s">
        <v>28</v>
      </c>
      <c r="Y135" s="94" t="s">
        <v>23</v>
      </c>
      <c r="Z135" s="95">
        <v>6.6</v>
      </c>
      <c r="AA135" s="123" t="s">
        <v>556</v>
      </c>
      <c r="AB135" s="94" t="s">
        <v>454</v>
      </c>
      <c r="AC135" s="96">
        <v>2</v>
      </c>
      <c r="AD135" s="97">
        <v>110</v>
      </c>
      <c r="AE135" s="98">
        <f>112*C135</f>
        <v>112</v>
      </c>
      <c r="AF135" s="99">
        <v>90</v>
      </c>
      <c r="AG135" s="94"/>
      <c r="AH135" s="91"/>
      <c r="AI135" s="87">
        <f t="shared" si="214"/>
        <v>2.2</v>
      </c>
      <c r="AJ135" s="91">
        <f t="shared" si="215"/>
        <v>2.2</v>
      </c>
      <c r="AK135" s="91">
        <f t="shared" si="216"/>
        <v>1.1</v>
      </c>
      <c r="AL135" s="87">
        <f t="shared" si="226"/>
        <v>1.8333333333333333</v>
      </c>
      <c r="AM135" s="92">
        <f t="shared" si="227"/>
        <v>6.6461538461538465</v>
      </c>
      <c r="AN135" s="92">
        <f t="shared" si="228"/>
        <v>1</v>
      </c>
      <c r="AO135" s="87">
        <v>2</v>
      </c>
      <c r="AP135" s="87">
        <v>1</v>
      </c>
      <c r="AQ135" s="87">
        <v>1</v>
      </c>
      <c r="AR135" s="87">
        <v>5</v>
      </c>
      <c r="AS135" s="87">
        <v>5</v>
      </c>
      <c r="AT135" s="87">
        <v>1</v>
      </c>
      <c r="AU135" s="87">
        <v>1.3</v>
      </c>
      <c r="AV135" s="87">
        <v>1</v>
      </c>
      <c r="AW135" s="87">
        <f t="shared" si="217"/>
        <v>2.2</v>
      </c>
      <c r="AX135" s="87">
        <f t="shared" si="218"/>
        <v>1.8857142857142861</v>
      </c>
      <c r="AY135" s="91">
        <f t="shared" si="219"/>
        <v>1.841860465116279</v>
      </c>
      <c r="AZ135" s="91">
        <f t="shared" si="220"/>
        <v>3.11428978486964</v>
      </c>
      <c r="BA135" s="91"/>
      <c r="BB135" s="73">
        <v>0.02</v>
      </c>
      <c r="BC135" s="73">
        <f t="shared" si="221"/>
        <v>3.052003989172247</v>
      </c>
      <c r="BD135" s="73">
        <v>4.840412061378459</v>
      </c>
      <c r="BE135" s="87">
        <v>5.7504095289176105</v>
      </c>
      <c r="BF135" s="42"/>
      <c r="BG135" s="42"/>
      <c r="BH135" s="42"/>
      <c r="BI135" s="42"/>
      <c r="BJ135" s="42"/>
      <c r="BK135" s="42"/>
      <c r="BL135" s="42"/>
      <c r="BM135" s="42"/>
      <c r="BN135" s="42"/>
      <c r="BO135" s="70"/>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row>
    <row r="136" spans="1:159" s="4" customFormat="1" ht="17.25">
      <c r="A136" s="105">
        <v>129</v>
      </c>
      <c r="B136" s="94" t="s">
        <v>507</v>
      </c>
      <c r="C136" s="75">
        <v>1</v>
      </c>
      <c r="D136" s="94">
        <v>2</v>
      </c>
      <c r="E136" s="75">
        <v>450</v>
      </c>
      <c r="F136" s="75">
        <v>666</v>
      </c>
      <c r="G136" s="94">
        <f t="shared" si="223"/>
        <v>450</v>
      </c>
      <c r="H136" s="94">
        <v>64</v>
      </c>
      <c r="I136" s="72">
        <f t="shared" si="224"/>
        <v>4</v>
      </c>
      <c r="J136" s="94">
        <v>4</v>
      </c>
      <c r="K136" s="94">
        <v>2</v>
      </c>
      <c r="L136" s="100" t="s">
        <v>453</v>
      </c>
      <c r="M136" s="94">
        <v>4</v>
      </c>
      <c r="N136" s="100" t="s">
        <v>453</v>
      </c>
      <c r="O136" s="94">
        <v>5</v>
      </c>
      <c r="P136" s="77">
        <f t="shared" si="213"/>
        <v>12.10271627743713</v>
      </c>
      <c r="Q136" s="78"/>
      <c r="R136" s="78"/>
      <c r="S136" s="89">
        <v>256</v>
      </c>
      <c r="T136" s="24" t="s">
        <v>26</v>
      </c>
      <c r="U136" s="102">
        <v>10</v>
      </c>
      <c r="V136" s="94" t="s">
        <v>55</v>
      </c>
      <c r="W136" s="94" t="s">
        <v>27</v>
      </c>
      <c r="X136" s="94" t="s">
        <v>28</v>
      </c>
      <c r="Y136" s="94" t="s">
        <v>23</v>
      </c>
      <c r="Z136" s="95">
        <v>6.6</v>
      </c>
      <c r="AA136" s="123" t="s">
        <v>556</v>
      </c>
      <c r="AB136" s="94" t="s">
        <v>454</v>
      </c>
      <c r="AC136" s="96">
        <v>2</v>
      </c>
      <c r="AD136" s="97">
        <v>110</v>
      </c>
      <c r="AE136" s="98">
        <f>112*C136</f>
        <v>112</v>
      </c>
      <c r="AF136" s="99">
        <v>90</v>
      </c>
      <c r="AG136" s="94"/>
      <c r="AH136" s="91"/>
      <c r="AI136" s="87">
        <f t="shared" si="214"/>
        <v>1.8</v>
      </c>
      <c r="AJ136" s="91">
        <f t="shared" si="215"/>
        <v>1.8</v>
      </c>
      <c r="AK136" s="91">
        <f t="shared" si="216"/>
        <v>0.9</v>
      </c>
      <c r="AL136" s="87">
        <f t="shared" si="226"/>
        <v>1.5</v>
      </c>
      <c r="AM136" s="92">
        <f t="shared" si="227"/>
        <v>5.464615384615384</v>
      </c>
      <c r="AN136" s="92">
        <f t="shared" si="228"/>
        <v>1</v>
      </c>
      <c r="AO136" s="87">
        <v>2</v>
      </c>
      <c r="AP136" s="87">
        <v>1</v>
      </c>
      <c r="AQ136" s="87">
        <v>1</v>
      </c>
      <c r="AR136" s="87">
        <v>5</v>
      </c>
      <c r="AS136" s="87">
        <v>5</v>
      </c>
      <c r="AT136" s="87">
        <v>1</v>
      </c>
      <c r="AU136" s="87">
        <v>1.3</v>
      </c>
      <c r="AV136" s="87">
        <v>1</v>
      </c>
      <c r="AW136" s="87">
        <f t="shared" si="217"/>
        <v>1.8</v>
      </c>
      <c r="AX136" s="87">
        <f t="shared" si="218"/>
        <v>1.542857142857143</v>
      </c>
      <c r="AY136" s="91">
        <f t="shared" si="219"/>
        <v>1.5069767441860464</v>
      </c>
      <c r="AZ136" s="91">
        <f t="shared" si="220"/>
        <v>2.5513758602741308</v>
      </c>
      <c r="BA136" s="91"/>
      <c r="BB136" s="73">
        <v>0.02</v>
      </c>
      <c r="BC136" s="73">
        <f t="shared" si="221"/>
        <v>2.500348343068648</v>
      </c>
      <c r="BD136" s="73">
        <v>4.840412061378459</v>
      </c>
      <c r="BE136" s="87">
        <v>5.7504095289176105</v>
      </c>
      <c r="BF136" s="42"/>
      <c r="BG136" s="42"/>
      <c r="BH136" s="42"/>
      <c r="BI136" s="42"/>
      <c r="BJ136" s="42"/>
      <c r="BK136" s="42"/>
      <c r="BL136" s="42"/>
      <c r="BM136" s="42"/>
      <c r="BN136" s="42"/>
      <c r="BO136" s="70"/>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row>
    <row r="137" spans="1:159" s="4" customFormat="1" ht="17.25">
      <c r="A137" s="105">
        <v>130</v>
      </c>
      <c r="B137" s="94" t="s">
        <v>508</v>
      </c>
      <c r="C137" s="72">
        <v>1</v>
      </c>
      <c r="D137" s="94">
        <v>1</v>
      </c>
      <c r="E137" s="75">
        <v>450</v>
      </c>
      <c r="F137" s="75">
        <v>800</v>
      </c>
      <c r="G137" s="94">
        <f t="shared" si="223"/>
        <v>450</v>
      </c>
      <c r="H137" s="94">
        <v>64</v>
      </c>
      <c r="I137" s="72">
        <f t="shared" si="224"/>
        <v>2</v>
      </c>
      <c r="J137" s="94">
        <v>2</v>
      </c>
      <c r="K137" s="94">
        <v>2</v>
      </c>
      <c r="L137" s="100" t="s">
        <v>453</v>
      </c>
      <c r="M137" s="94">
        <v>4</v>
      </c>
      <c r="N137" s="100" t="s">
        <v>453</v>
      </c>
      <c r="O137" s="94">
        <v>5</v>
      </c>
      <c r="P137" s="77">
        <f t="shared" si="213"/>
        <v>11.621679497485056</v>
      </c>
      <c r="Q137" s="78"/>
      <c r="R137" s="78"/>
      <c r="S137" s="89">
        <v>256</v>
      </c>
      <c r="T137" s="24" t="s">
        <v>26</v>
      </c>
      <c r="U137" s="102" t="s">
        <v>448</v>
      </c>
      <c r="V137" s="94" t="s">
        <v>55</v>
      </c>
      <c r="W137" s="94" t="s">
        <v>27</v>
      </c>
      <c r="X137" s="94" t="s">
        <v>28</v>
      </c>
      <c r="Y137" s="94" t="s">
        <v>23</v>
      </c>
      <c r="Z137" s="95">
        <v>6.6</v>
      </c>
      <c r="AA137" s="123" t="s">
        <v>556</v>
      </c>
      <c r="AB137" s="94" t="s">
        <v>454</v>
      </c>
      <c r="AC137" s="96">
        <v>2</v>
      </c>
      <c r="AD137" s="97">
        <v>110</v>
      </c>
      <c r="AE137" s="98">
        <f>112*C137</f>
        <v>112</v>
      </c>
      <c r="AF137" s="99">
        <v>90</v>
      </c>
      <c r="AG137" s="94"/>
      <c r="AH137" s="91"/>
      <c r="AI137" s="87">
        <f t="shared" si="214"/>
        <v>0.9</v>
      </c>
      <c r="AJ137" s="91">
        <f t="shared" si="215"/>
        <v>0.9</v>
      </c>
      <c r="AK137" s="91">
        <f t="shared" si="216"/>
        <v>0.9</v>
      </c>
      <c r="AL137" s="87">
        <f t="shared" si="226"/>
        <v>1.5</v>
      </c>
      <c r="AM137" s="92">
        <f t="shared" si="227"/>
        <v>6.564102564102564</v>
      </c>
      <c r="AN137" s="92">
        <f t="shared" si="228"/>
        <v>1</v>
      </c>
      <c r="AO137" s="87">
        <v>2</v>
      </c>
      <c r="AP137" s="87">
        <v>1</v>
      </c>
      <c r="AQ137" s="87">
        <v>1</v>
      </c>
      <c r="AR137" s="87">
        <v>5</v>
      </c>
      <c r="AS137" s="87">
        <v>5</v>
      </c>
      <c r="AT137" s="87">
        <v>1</v>
      </c>
      <c r="AU137" s="87">
        <v>1.3</v>
      </c>
      <c r="AV137" s="87">
        <v>1</v>
      </c>
      <c r="AW137" s="87">
        <f t="shared" si="217"/>
        <v>0.9</v>
      </c>
      <c r="AX137" s="87">
        <f t="shared" si="218"/>
        <v>0.9</v>
      </c>
      <c r="AY137" s="91">
        <f t="shared" si="219"/>
        <v>1.3500000000000003</v>
      </c>
      <c r="AZ137" s="91">
        <f t="shared" si="220"/>
        <v>2.4499684075883432</v>
      </c>
      <c r="BA137" s="91"/>
      <c r="BB137" s="73">
        <v>0.02</v>
      </c>
      <c r="BC137" s="73">
        <f t="shared" si="221"/>
        <v>2.400969039436576</v>
      </c>
      <c r="BD137" s="73">
        <v>4.840412061378459</v>
      </c>
      <c r="BE137" s="87">
        <v>5.7504095289176105</v>
      </c>
      <c r="BF137" s="42"/>
      <c r="BG137" s="42"/>
      <c r="BH137" s="42"/>
      <c r="BI137" s="42"/>
      <c r="BJ137" s="42"/>
      <c r="BK137" s="42"/>
      <c r="BL137" s="42"/>
      <c r="BM137" s="42"/>
      <c r="BN137" s="42"/>
      <c r="BO137" s="70"/>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row>
    <row r="138" spans="1:159" s="4" customFormat="1" ht="17.25">
      <c r="A138" s="105">
        <v>131</v>
      </c>
      <c r="B138" s="94" t="s">
        <v>509</v>
      </c>
      <c r="C138" s="72">
        <v>1</v>
      </c>
      <c r="D138" s="94">
        <v>1</v>
      </c>
      <c r="E138" s="75">
        <v>350</v>
      </c>
      <c r="F138" s="75">
        <v>666</v>
      </c>
      <c r="G138" s="94">
        <f t="shared" si="223"/>
        <v>350</v>
      </c>
      <c r="H138" s="94">
        <v>64</v>
      </c>
      <c r="I138" s="72">
        <f t="shared" si="224"/>
        <v>4</v>
      </c>
      <c r="J138" s="94">
        <v>4</v>
      </c>
      <c r="K138" s="94">
        <v>2</v>
      </c>
      <c r="L138" s="100" t="s">
        <v>453</v>
      </c>
      <c r="M138" s="94">
        <v>4</v>
      </c>
      <c r="N138" s="100" t="s">
        <v>453</v>
      </c>
      <c r="O138" s="94">
        <v>5</v>
      </c>
      <c r="P138" s="77">
        <f t="shared" si="213"/>
        <v>9.99963459054124</v>
      </c>
      <c r="Q138" s="78"/>
      <c r="R138" s="78"/>
      <c r="S138" s="89">
        <v>256</v>
      </c>
      <c r="T138" s="24" t="s">
        <v>26</v>
      </c>
      <c r="U138" s="102" t="s">
        <v>448</v>
      </c>
      <c r="V138" s="94" t="s">
        <v>55</v>
      </c>
      <c r="W138" s="94" t="s">
        <v>27</v>
      </c>
      <c r="X138" s="94" t="s">
        <v>28</v>
      </c>
      <c r="Y138" s="94" t="s">
        <v>23</v>
      </c>
      <c r="Z138" s="95">
        <v>6.6</v>
      </c>
      <c r="AA138" s="123" t="s">
        <v>556</v>
      </c>
      <c r="AB138" s="94" t="s">
        <v>454</v>
      </c>
      <c r="AC138" s="96">
        <v>2</v>
      </c>
      <c r="AD138" s="97">
        <v>110</v>
      </c>
      <c r="AE138" s="98">
        <f>112*C138</f>
        <v>112</v>
      </c>
      <c r="AF138" s="99">
        <v>90</v>
      </c>
      <c r="AG138" s="94"/>
      <c r="AH138" s="91"/>
      <c r="AI138" s="87">
        <f t="shared" si="214"/>
        <v>1.4</v>
      </c>
      <c r="AJ138" s="91">
        <f t="shared" si="215"/>
        <v>1.4</v>
      </c>
      <c r="AK138" s="91">
        <f t="shared" si="216"/>
        <v>0.7</v>
      </c>
      <c r="AL138" s="87">
        <f t="shared" si="226"/>
        <v>1.1666666666666667</v>
      </c>
      <c r="AM138" s="92">
        <f t="shared" si="227"/>
        <v>5.464615384615384</v>
      </c>
      <c r="AN138" s="92">
        <f t="shared" si="228"/>
        <v>1</v>
      </c>
      <c r="AO138" s="87">
        <v>2</v>
      </c>
      <c r="AP138" s="87">
        <v>1</v>
      </c>
      <c r="AQ138" s="87">
        <v>1</v>
      </c>
      <c r="AR138" s="87">
        <v>5</v>
      </c>
      <c r="AS138" s="87">
        <v>5</v>
      </c>
      <c r="AT138" s="87">
        <v>1</v>
      </c>
      <c r="AU138" s="87">
        <v>1.3</v>
      </c>
      <c r="AV138" s="87">
        <v>1</v>
      </c>
      <c r="AW138" s="87">
        <f t="shared" si="217"/>
        <v>1.4</v>
      </c>
      <c r="AX138" s="87">
        <f t="shared" si="218"/>
        <v>1.1999999999999997</v>
      </c>
      <c r="AY138" s="91">
        <f t="shared" si="219"/>
        <v>1.172093023255814</v>
      </c>
      <c r="AZ138" s="91">
        <f t="shared" si="220"/>
        <v>2.1080248202985805</v>
      </c>
      <c r="BA138" s="91"/>
      <c r="BB138" s="73">
        <v>0.02</v>
      </c>
      <c r="BC138" s="73">
        <f t="shared" si="221"/>
        <v>2.0658643238926087</v>
      </c>
      <c r="BD138" s="73">
        <v>4.840412061378459</v>
      </c>
      <c r="BE138" s="87">
        <v>5.7504095289176105</v>
      </c>
      <c r="BF138" s="42"/>
      <c r="BG138" s="42"/>
      <c r="BH138" s="42"/>
      <c r="BI138" s="42"/>
      <c r="BJ138" s="42"/>
      <c r="BK138" s="42"/>
      <c r="BL138" s="42"/>
      <c r="BM138" s="42"/>
      <c r="BN138" s="42"/>
      <c r="BO138" s="70"/>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row>
    <row r="139" spans="1:159" s="4" customFormat="1" ht="17.25">
      <c r="A139" s="105">
        <v>132</v>
      </c>
      <c r="B139" s="94" t="s">
        <v>510</v>
      </c>
      <c r="C139" s="72">
        <v>1</v>
      </c>
      <c r="D139" s="94">
        <v>1</v>
      </c>
      <c r="E139" s="72">
        <v>630</v>
      </c>
      <c r="F139" s="75">
        <v>800</v>
      </c>
      <c r="G139" s="94">
        <f t="shared" si="223"/>
        <v>630</v>
      </c>
      <c r="H139" s="94">
        <v>64</v>
      </c>
      <c r="I139" s="72">
        <f t="shared" si="224"/>
        <v>1</v>
      </c>
      <c r="J139" s="94">
        <v>1</v>
      </c>
      <c r="K139" s="94">
        <v>2</v>
      </c>
      <c r="L139" s="100" t="s">
        <v>453</v>
      </c>
      <c r="M139" s="94">
        <v>2</v>
      </c>
      <c r="N139" s="100" t="s">
        <v>453</v>
      </c>
      <c r="O139" s="94">
        <v>1</v>
      </c>
      <c r="P139" s="77">
        <f aca="true" t="shared" si="229" ref="P139:P151">BC139*BD139</f>
        <v>7.066397027869558</v>
      </c>
      <c r="Q139" s="78"/>
      <c r="R139" s="78"/>
      <c r="S139" s="89">
        <v>256</v>
      </c>
      <c r="T139" s="24" t="s">
        <v>26</v>
      </c>
      <c r="U139" s="24" t="s">
        <v>26</v>
      </c>
      <c r="V139" s="94" t="s">
        <v>55</v>
      </c>
      <c r="W139" s="94" t="s">
        <v>27</v>
      </c>
      <c r="X139" s="94" t="s">
        <v>28</v>
      </c>
      <c r="Y139" s="94" t="s">
        <v>28</v>
      </c>
      <c r="Z139" s="95" t="s">
        <v>28</v>
      </c>
      <c r="AA139" s="95" t="s">
        <v>560</v>
      </c>
      <c r="AB139" s="94" t="s">
        <v>454</v>
      </c>
      <c r="AC139" s="96">
        <v>2</v>
      </c>
      <c r="AD139" s="97">
        <v>135</v>
      </c>
      <c r="AE139" s="98" t="s">
        <v>47</v>
      </c>
      <c r="AF139" s="99">
        <v>90</v>
      </c>
      <c r="AG139" s="94"/>
      <c r="AH139" s="91"/>
      <c r="AI139" s="87">
        <f aca="true" t="shared" si="230" ref="AI139:AI151">I139*E139/1000</f>
        <v>0.63</v>
      </c>
      <c r="AJ139" s="91">
        <f aca="true" t="shared" si="231" ref="AJ139:AJ151">J139*E139/1000</f>
        <v>0.63</v>
      </c>
      <c r="AK139" s="91">
        <f aca="true" t="shared" si="232" ref="AK139:AK151">K139*E139/1000</f>
        <v>1.26</v>
      </c>
      <c r="AL139" s="87">
        <f t="shared" si="226"/>
        <v>1.05</v>
      </c>
      <c r="AM139" s="42">
        <f>H139*F139/20000</f>
        <v>2.56</v>
      </c>
      <c r="AN139" s="92">
        <f t="shared" si="228"/>
        <v>1</v>
      </c>
      <c r="AO139" s="87">
        <v>2</v>
      </c>
      <c r="AP139" s="87">
        <v>1</v>
      </c>
      <c r="AQ139" s="87">
        <v>1</v>
      </c>
      <c r="AR139" s="87">
        <v>5</v>
      </c>
      <c r="AS139" s="87">
        <v>5</v>
      </c>
      <c r="AT139" s="87">
        <v>1</v>
      </c>
      <c r="AU139" s="87">
        <v>1.3</v>
      </c>
      <c r="AV139" s="87">
        <v>1</v>
      </c>
      <c r="AW139" s="87">
        <f aca="true" t="shared" si="233" ref="AW139:AW151">AI139*AJ139*(AO139+AP139)/(AI139*AO139+AJ139*AP139)</f>
        <v>0.63</v>
      </c>
      <c r="AX139" s="87">
        <f aca="true" t="shared" si="234" ref="AX139:AX151">(AQ139+AR139)*AW139*AK139/(AW139*AQ139+AK139*AR139)</f>
        <v>0.6872727272727274</v>
      </c>
      <c r="AY139" s="91">
        <f aca="true" t="shared" si="235" ref="AY139:AY151">AX139*AL139*(AS139+AT139)/(AX139*AS139+AL139*AT139)</f>
        <v>0.9651063829787233</v>
      </c>
      <c r="AZ139" s="91">
        <f aca="true" t="shared" si="236" ref="AZ139:AZ151">AY139*AM139*(AU139+AV139)/(AY139*AU139+AV139*AM139)*AN139</f>
        <v>1.4896684663781177</v>
      </c>
      <c r="BA139" s="91"/>
      <c r="BB139" s="73">
        <v>0.02</v>
      </c>
      <c r="BC139" s="73">
        <f aca="true" t="shared" si="237" ref="BC139:BC151">AZ139*(1-BB139)+BA139*BB139</f>
        <v>1.4598750970505554</v>
      </c>
      <c r="BD139" s="73">
        <v>4.840412061378459</v>
      </c>
      <c r="BE139" s="87">
        <v>5.7504095289176105</v>
      </c>
      <c r="BF139" s="42"/>
      <c r="BG139" s="42"/>
      <c r="BH139" s="42"/>
      <c r="BI139" s="42"/>
      <c r="BJ139" s="42"/>
      <c r="BK139" s="42"/>
      <c r="BL139" s="42"/>
      <c r="BM139" s="42"/>
      <c r="BN139" s="42"/>
      <c r="BO139" s="70"/>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row>
    <row r="140" spans="1:159" s="4" customFormat="1" ht="17.25">
      <c r="A140" s="105">
        <v>133</v>
      </c>
      <c r="B140" s="94" t="s">
        <v>511</v>
      </c>
      <c r="C140" s="72">
        <v>1</v>
      </c>
      <c r="D140" s="94">
        <v>1</v>
      </c>
      <c r="E140" s="72">
        <v>600</v>
      </c>
      <c r="F140" s="75">
        <v>800</v>
      </c>
      <c r="G140" s="94">
        <f t="shared" si="223"/>
        <v>600</v>
      </c>
      <c r="H140" s="94">
        <v>64</v>
      </c>
      <c r="I140" s="72">
        <f t="shared" si="224"/>
        <v>1</v>
      </c>
      <c r="J140" s="94">
        <v>1</v>
      </c>
      <c r="K140" s="94">
        <v>2</v>
      </c>
      <c r="L140" s="100" t="s">
        <v>453</v>
      </c>
      <c r="M140" s="94">
        <v>2</v>
      </c>
      <c r="N140" s="100" t="s">
        <v>453</v>
      </c>
      <c r="O140" s="94">
        <v>1</v>
      </c>
      <c r="P140" s="77">
        <f t="shared" si="229"/>
        <v>6.836982419875864</v>
      </c>
      <c r="Q140" s="78"/>
      <c r="R140" s="78"/>
      <c r="S140" s="89">
        <v>256</v>
      </c>
      <c r="T140" s="24" t="s">
        <v>26</v>
      </c>
      <c r="U140" s="24" t="s">
        <v>26</v>
      </c>
      <c r="V140" s="94" t="s">
        <v>55</v>
      </c>
      <c r="W140" s="94" t="s">
        <v>27</v>
      </c>
      <c r="X140" s="94" t="s">
        <v>28</v>
      </c>
      <c r="Y140" s="94" t="s">
        <v>28</v>
      </c>
      <c r="Z140" s="95" t="s">
        <v>28</v>
      </c>
      <c r="AA140" s="95" t="s">
        <v>560</v>
      </c>
      <c r="AB140" s="94" t="s">
        <v>454</v>
      </c>
      <c r="AC140" s="96">
        <v>2</v>
      </c>
      <c r="AD140" s="97">
        <v>135</v>
      </c>
      <c r="AE140" s="98" t="s">
        <v>47</v>
      </c>
      <c r="AF140" s="99">
        <v>90</v>
      </c>
      <c r="AG140" s="94"/>
      <c r="AH140" s="91"/>
      <c r="AI140" s="87">
        <f t="shared" si="230"/>
        <v>0.6</v>
      </c>
      <c r="AJ140" s="91">
        <f t="shared" si="231"/>
        <v>0.6</v>
      </c>
      <c r="AK140" s="91">
        <f t="shared" si="232"/>
        <v>1.2</v>
      </c>
      <c r="AL140" s="87">
        <f t="shared" si="226"/>
        <v>1</v>
      </c>
      <c r="AM140" s="42">
        <f>H140*F140/20000</f>
        <v>2.56</v>
      </c>
      <c r="AN140" s="92">
        <f t="shared" si="228"/>
        <v>1</v>
      </c>
      <c r="AO140" s="87">
        <v>2</v>
      </c>
      <c r="AP140" s="87">
        <v>1</v>
      </c>
      <c r="AQ140" s="87">
        <v>1</v>
      </c>
      <c r="AR140" s="87">
        <v>5</v>
      </c>
      <c r="AS140" s="87">
        <v>5</v>
      </c>
      <c r="AT140" s="87">
        <v>1</v>
      </c>
      <c r="AU140" s="87">
        <v>1.3</v>
      </c>
      <c r="AV140" s="87">
        <v>1</v>
      </c>
      <c r="AW140" s="87">
        <f t="shared" si="233"/>
        <v>0.6000000000000001</v>
      </c>
      <c r="AX140" s="87">
        <f t="shared" si="234"/>
        <v>0.6545454545454547</v>
      </c>
      <c r="AY140" s="91">
        <f t="shared" si="235"/>
        <v>0.9191489361702128</v>
      </c>
      <c r="AZ140" s="91">
        <f t="shared" si="236"/>
        <v>1.4413055303717133</v>
      </c>
      <c r="BA140" s="91"/>
      <c r="BB140" s="73">
        <v>0.02</v>
      </c>
      <c r="BC140" s="73">
        <f t="shared" si="237"/>
        <v>1.412479419764279</v>
      </c>
      <c r="BD140" s="73">
        <v>4.840412061378459</v>
      </c>
      <c r="BE140" s="87">
        <v>5.7504095289176105</v>
      </c>
      <c r="BF140" s="42"/>
      <c r="BG140" s="42"/>
      <c r="BH140" s="42"/>
      <c r="BI140" s="42"/>
      <c r="BJ140" s="42"/>
      <c r="BK140" s="42"/>
      <c r="BL140" s="42"/>
      <c r="BM140" s="42"/>
      <c r="BN140" s="42"/>
      <c r="BO140" s="70"/>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row>
    <row r="141" spans="1:159" s="4" customFormat="1" ht="17.25">
      <c r="A141" s="105">
        <v>134</v>
      </c>
      <c r="B141" s="94" t="s">
        <v>512</v>
      </c>
      <c r="C141" s="72">
        <v>1</v>
      </c>
      <c r="D141" s="94">
        <v>1</v>
      </c>
      <c r="E141" s="72">
        <v>500</v>
      </c>
      <c r="F141" s="75">
        <v>666</v>
      </c>
      <c r="G141" s="94">
        <f t="shared" si="223"/>
        <v>500</v>
      </c>
      <c r="H141" s="94">
        <v>64</v>
      </c>
      <c r="I141" s="72">
        <f t="shared" si="224"/>
        <v>1</v>
      </c>
      <c r="J141" s="94">
        <v>1</v>
      </c>
      <c r="K141" s="94">
        <v>2</v>
      </c>
      <c r="L141" s="100" t="s">
        <v>453</v>
      </c>
      <c r="M141" s="94">
        <v>2</v>
      </c>
      <c r="N141" s="100" t="s">
        <v>453</v>
      </c>
      <c r="O141" s="94">
        <v>1</v>
      </c>
      <c r="P141" s="77">
        <f t="shared" si="229"/>
        <v>5.695671041902515</v>
      </c>
      <c r="Q141" s="78"/>
      <c r="R141" s="78"/>
      <c r="S141" s="89">
        <v>256</v>
      </c>
      <c r="T141" s="24" t="s">
        <v>26</v>
      </c>
      <c r="U141" s="24" t="s">
        <v>26</v>
      </c>
      <c r="V141" s="94" t="s">
        <v>55</v>
      </c>
      <c r="W141" s="94" t="s">
        <v>27</v>
      </c>
      <c r="X141" s="94" t="s">
        <v>28</v>
      </c>
      <c r="Y141" s="94" t="s">
        <v>28</v>
      </c>
      <c r="Z141" s="95" t="s">
        <v>28</v>
      </c>
      <c r="AA141" s="95" t="s">
        <v>560</v>
      </c>
      <c r="AB141" s="94" t="s">
        <v>454</v>
      </c>
      <c r="AC141" s="96">
        <v>2</v>
      </c>
      <c r="AD141" s="97">
        <v>135</v>
      </c>
      <c r="AE141" s="98" t="s">
        <v>47</v>
      </c>
      <c r="AF141" s="99">
        <v>90</v>
      </c>
      <c r="AG141" s="94"/>
      <c r="AH141" s="91"/>
      <c r="AI141" s="87">
        <f t="shared" si="230"/>
        <v>0.5</v>
      </c>
      <c r="AJ141" s="91">
        <f t="shared" si="231"/>
        <v>0.5</v>
      </c>
      <c r="AK141" s="91">
        <f t="shared" si="232"/>
        <v>1</v>
      </c>
      <c r="AL141" s="87">
        <f t="shared" si="226"/>
        <v>0.8333333333333334</v>
      </c>
      <c r="AM141" s="42">
        <f>H141*F141/20000</f>
        <v>2.1312</v>
      </c>
      <c r="AN141" s="92">
        <f t="shared" si="228"/>
        <v>1</v>
      </c>
      <c r="AO141" s="87">
        <v>2</v>
      </c>
      <c r="AP141" s="87">
        <v>1</v>
      </c>
      <c r="AQ141" s="87">
        <v>1</v>
      </c>
      <c r="AR141" s="87">
        <v>5</v>
      </c>
      <c r="AS141" s="87">
        <v>5</v>
      </c>
      <c r="AT141" s="87">
        <v>1</v>
      </c>
      <c r="AU141" s="87">
        <v>1.3</v>
      </c>
      <c r="AV141" s="87">
        <v>1</v>
      </c>
      <c r="AW141" s="87">
        <f t="shared" si="233"/>
        <v>0.5</v>
      </c>
      <c r="AX141" s="87">
        <f t="shared" si="234"/>
        <v>0.5454545454545454</v>
      </c>
      <c r="AY141" s="91">
        <f t="shared" si="235"/>
        <v>0.7659574468085106</v>
      </c>
      <c r="AZ141" s="91">
        <f t="shared" si="236"/>
        <v>1.200705467372134</v>
      </c>
      <c r="BA141" s="91"/>
      <c r="BB141" s="73">
        <v>0.02</v>
      </c>
      <c r="BC141" s="73">
        <f t="shared" si="237"/>
        <v>1.1766913580246914</v>
      </c>
      <c r="BD141" s="73">
        <v>4.840412061378459</v>
      </c>
      <c r="BE141" s="87">
        <v>5.7504095289176105</v>
      </c>
      <c r="BF141" s="42"/>
      <c r="BG141" s="42"/>
      <c r="BH141" s="42"/>
      <c r="BI141" s="42"/>
      <c r="BJ141" s="42"/>
      <c r="BK141" s="42"/>
      <c r="BL141" s="42"/>
      <c r="BM141" s="42"/>
      <c r="BN141" s="42"/>
      <c r="BO141" s="70"/>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row>
    <row r="142" spans="1:159" s="4" customFormat="1" ht="17.25">
      <c r="A142" s="105">
        <v>135</v>
      </c>
      <c r="B142" s="94" t="s">
        <v>513</v>
      </c>
      <c r="C142" s="72">
        <v>1</v>
      </c>
      <c r="D142" s="94">
        <v>1</v>
      </c>
      <c r="E142" s="72">
        <v>450</v>
      </c>
      <c r="F142" s="75">
        <v>666</v>
      </c>
      <c r="G142" s="94">
        <f t="shared" si="223"/>
        <v>450</v>
      </c>
      <c r="H142" s="94">
        <v>64</v>
      </c>
      <c r="I142" s="72">
        <f t="shared" si="224"/>
        <v>1</v>
      </c>
      <c r="J142" s="94">
        <v>1</v>
      </c>
      <c r="K142" s="94">
        <v>2</v>
      </c>
      <c r="L142" s="100" t="s">
        <v>453</v>
      </c>
      <c r="M142" s="94">
        <v>2</v>
      </c>
      <c r="N142" s="100" t="s">
        <v>453</v>
      </c>
      <c r="O142" s="94">
        <v>1</v>
      </c>
      <c r="P142" s="77">
        <f t="shared" si="229"/>
        <v>5.294708712507981</v>
      </c>
      <c r="Q142" s="78"/>
      <c r="R142" s="78"/>
      <c r="S142" s="89">
        <v>256</v>
      </c>
      <c r="T142" s="24" t="s">
        <v>26</v>
      </c>
      <c r="U142" s="24" t="s">
        <v>26</v>
      </c>
      <c r="V142" s="94" t="s">
        <v>55</v>
      </c>
      <c r="W142" s="94" t="s">
        <v>27</v>
      </c>
      <c r="X142" s="94" t="s">
        <v>28</v>
      </c>
      <c r="Y142" s="94" t="s">
        <v>28</v>
      </c>
      <c r="Z142" s="95" t="s">
        <v>28</v>
      </c>
      <c r="AA142" s="95" t="s">
        <v>560</v>
      </c>
      <c r="AB142" s="94" t="s">
        <v>454</v>
      </c>
      <c r="AC142" s="96">
        <v>2</v>
      </c>
      <c r="AD142" s="97">
        <v>135</v>
      </c>
      <c r="AE142" s="98" t="s">
        <v>47</v>
      </c>
      <c r="AF142" s="99">
        <v>90</v>
      </c>
      <c r="AG142" s="94"/>
      <c r="AH142" s="91"/>
      <c r="AI142" s="87">
        <f t="shared" si="230"/>
        <v>0.45</v>
      </c>
      <c r="AJ142" s="91">
        <f t="shared" si="231"/>
        <v>0.45</v>
      </c>
      <c r="AK142" s="91">
        <f t="shared" si="232"/>
        <v>0.9</v>
      </c>
      <c r="AL142" s="87">
        <f t="shared" si="226"/>
        <v>0.75</v>
      </c>
      <c r="AM142" s="42">
        <f>H142*F142/20000</f>
        <v>2.1312</v>
      </c>
      <c r="AN142" s="92">
        <f t="shared" si="228"/>
        <v>1</v>
      </c>
      <c r="AO142" s="87">
        <v>2</v>
      </c>
      <c r="AP142" s="87">
        <v>1</v>
      </c>
      <c r="AQ142" s="87">
        <v>1</v>
      </c>
      <c r="AR142" s="87">
        <v>5</v>
      </c>
      <c r="AS142" s="87">
        <v>5</v>
      </c>
      <c r="AT142" s="87">
        <v>1</v>
      </c>
      <c r="AU142" s="87">
        <v>1.3</v>
      </c>
      <c r="AV142" s="87">
        <v>1</v>
      </c>
      <c r="AW142" s="87">
        <f t="shared" si="233"/>
        <v>0.45</v>
      </c>
      <c r="AX142" s="87">
        <f t="shared" si="234"/>
        <v>0.4909090909090909</v>
      </c>
      <c r="AY142" s="91">
        <f t="shared" si="235"/>
        <v>0.6893617021276596</v>
      </c>
      <c r="AZ142" s="91">
        <f t="shared" si="236"/>
        <v>1.116178524440846</v>
      </c>
      <c r="BA142" s="91"/>
      <c r="BB142" s="73">
        <v>0.02</v>
      </c>
      <c r="BC142" s="73">
        <f t="shared" si="237"/>
        <v>1.093854953952029</v>
      </c>
      <c r="BD142" s="73">
        <v>4.840412061378459</v>
      </c>
      <c r="BE142" s="87">
        <v>5.7504095289176105</v>
      </c>
      <c r="BF142" s="42"/>
      <c r="BG142" s="42"/>
      <c r="BH142" s="42"/>
      <c r="BI142" s="42"/>
      <c r="BJ142" s="42"/>
      <c r="BK142" s="42"/>
      <c r="BL142" s="42"/>
      <c r="BM142" s="42"/>
      <c r="BN142" s="42"/>
      <c r="BO142" s="70"/>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row>
    <row r="143" spans="1:159" s="4" customFormat="1" ht="17.25">
      <c r="A143" s="105">
        <v>136</v>
      </c>
      <c r="B143" s="94" t="s">
        <v>24</v>
      </c>
      <c r="C143" s="75">
        <v>1</v>
      </c>
      <c r="D143" s="94">
        <v>2</v>
      </c>
      <c r="E143" s="75">
        <v>400</v>
      </c>
      <c r="F143" s="75">
        <v>1100</v>
      </c>
      <c r="G143" s="94">
        <f t="shared" si="223"/>
        <v>400</v>
      </c>
      <c r="H143" s="94">
        <v>256</v>
      </c>
      <c r="I143" s="72">
        <v>16</v>
      </c>
      <c r="J143" s="94">
        <v>16</v>
      </c>
      <c r="K143" s="94">
        <v>16</v>
      </c>
      <c r="L143" s="100" t="s">
        <v>453</v>
      </c>
      <c r="M143" s="94">
        <v>16</v>
      </c>
      <c r="N143" s="100" t="s">
        <v>453</v>
      </c>
      <c r="O143" s="94">
        <v>6</v>
      </c>
      <c r="P143" s="77">
        <f t="shared" si="229"/>
        <v>49.76788318955715</v>
      </c>
      <c r="Q143" s="78"/>
      <c r="R143" s="78"/>
      <c r="S143" s="89">
        <v>256</v>
      </c>
      <c r="T143" s="102">
        <v>30</v>
      </c>
      <c r="U143" s="102">
        <v>90</v>
      </c>
      <c r="V143" s="94" t="s">
        <v>55</v>
      </c>
      <c r="W143" s="94" t="s">
        <v>42</v>
      </c>
      <c r="X143" s="94" t="s">
        <v>28</v>
      </c>
      <c r="Y143" s="94" t="s">
        <v>40</v>
      </c>
      <c r="Z143" s="95">
        <v>8.5</v>
      </c>
      <c r="AA143" s="124" t="s">
        <v>559</v>
      </c>
      <c r="AB143" s="94" t="s">
        <v>454</v>
      </c>
      <c r="AC143" s="96">
        <v>3</v>
      </c>
      <c r="AD143" s="97">
        <v>288</v>
      </c>
      <c r="AE143" s="98">
        <f>222*C143</f>
        <v>222</v>
      </c>
      <c r="AF143" s="99">
        <v>130</v>
      </c>
      <c r="AG143" s="94"/>
      <c r="AH143" s="91"/>
      <c r="AI143" s="87">
        <f t="shared" si="230"/>
        <v>6.4</v>
      </c>
      <c r="AJ143" s="91">
        <f t="shared" si="231"/>
        <v>6.4</v>
      </c>
      <c r="AK143" s="91">
        <f t="shared" si="232"/>
        <v>6.4</v>
      </c>
      <c r="AL143" s="87">
        <f t="shared" si="226"/>
        <v>5.333333333333333</v>
      </c>
      <c r="AM143" s="92">
        <f aca="true" t="shared" si="238" ref="AM143:AM151">H143*F143/(7400+AC143*200)</f>
        <v>35.2</v>
      </c>
      <c r="AN143" s="92">
        <f t="shared" si="228"/>
        <v>1</v>
      </c>
      <c r="AO143" s="87">
        <v>2</v>
      </c>
      <c r="AP143" s="87">
        <v>1</v>
      </c>
      <c r="AQ143" s="87">
        <v>1</v>
      </c>
      <c r="AR143" s="87">
        <v>5</v>
      </c>
      <c r="AS143" s="87">
        <v>5</v>
      </c>
      <c r="AT143" s="87">
        <v>1</v>
      </c>
      <c r="AU143" s="87">
        <v>1.3</v>
      </c>
      <c r="AV143" s="87">
        <v>1</v>
      </c>
      <c r="AW143" s="87">
        <f t="shared" si="233"/>
        <v>6.4</v>
      </c>
      <c r="AX143" s="87">
        <f t="shared" si="234"/>
        <v>6.400000000000001</v>
      </c>
      <c r="AY143" s="91">
        <f t="shared" si="235"/>
        <v>5.485714285714286</v>
      </c>
      <c r="AZ143" s="91">
        <f t="shared" si="236"/>
        <v>10.49157667386609</v>
      </c>
      <c r="BA143" s="91"/>
      <c r="BB143" s="73">
        <v>0.02</v>
      </c>
      <c r="BC143" s="73">
        <f t="shared" si="237"/>
        <v>10.281745140388768</v>
      </c>
      <c r="BD143" s="73">
        <v>4.840412061378459</v>
      </c>
      <c r="BE143" s="87">
        <v>5.7504095289176105</v>
      </c>
      <c r="BF143" s="42"/>
      <c r="BG143" s="42"/>
      <c r="BH143" s="42"/>
      <c r="BI143" s="42"/>
      <c r="BJ143" s="42"/>
      <c r="BK143" s="42"/>
      <c r="BL143" s="42"/>
      <c r="BM143" s="42"/>
      <c r="BN143" s="42"/>
      <c r="BO143" s="70"/>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row>
    <row r="144" spans="1:159" s="4" customFormat="1" ht="17.25">
      <c r="A144" s="105">
        <v>137</v>
      </c>
      <c r="B144" s="94" t="s">
        <v>514</v>
      </c>
      <c r="C144" s="75">
        <v>1</v>
      </c>
      <c r="D144" s="94">
        <v>2</v>
      </c>
      <c r="E144" s="75">
        <v>350</v>
      </c>
      <c r="F144" s="75">
        <v>1000</v>
      </c>
      <c r="G144" s="94">
        <f t="shared" si="223"/>
        <v>350</v>
      </c>
      <c r="H144" s="94">
        <v>256</v>
      </c>
      <c r="I144" s="72">
        <v>16</v>
      </c>
      <c r="J144" s="94">
        <v>16</v>
      </c>
      <c r="K144" s="94">
        <v>16</v>
      </c>
      <c r="L144" s="100" t="s">
        <v>453</v>
      </c>
      <c r="M144" s="94">
        <v>16</v>
      </c>
      <c r="N144" s="100" t="s">
        <v>453</v>
      </c>
      <c r="O144" s="94">
        <v>6</v>
      </c>
      <c r="P144" s="77">
        <f t="shared" si="229"/>
        <v>43.823754120891905</v>
      </c>
      <c r="Q144" s="78"/>
      <c r="R144" s="78"/>
      <c r="S144" s="89">
        <v>256</v>
      </c>
      <c r="T144" s="102">
        <v>23</v>
      </c>
      <c r="U144" s="102">
        <v>70</v>
      </c>
      <c r="V144" s="94" t="s">
        <v>55</v>
      </c>
      <c r="W144" s="94" t="s">
        <v>42</v>
      </c>
      <c r="X144" s="94" t="s">
        <v>28</v>
      </c>
      <c r="Y144" s="94" t="s">
        <v>23</v>
      </c>
      <c r="Z144" s="95">
        <v>8.5</v>
      </c>
      <c r="AA144" s="124" t="s">
        <v>559</v>
      </c>
      <c r="AB144" s="94" t="s">
        <v>454</v>
      </c>
      <c r="AC144" s="96">
        <v>3</v>
      </c>
      <c r="AD144" s="97">
        <v>288</v>
      </c>
      <c r="AE144" s="98">
        <f>222*C144</f>
        <v>222</v>
      </c>
      <c r="AF144" s="99">
        <v>130</v>
      </c>
      <c r="AG144" s="94"/>
      <c r="AH144" s="91"/>
      <c r="AI144" s="87">
        <f t="shared" si="230"/>
        <v>5.6</v>
      </c>
      <c r="AJ144" s="91">
        <f t="shared" si="231"/>
        <v>5.6</v>
      </c>
      <c r="AK144" s="91">
        <f t="shared" si="232"/>
        <v>5.6</v>
      </c>
      <c r="AL144" s="87">
        <f t="shared" si="226"/>
        <v>4.666666666666667</v>
      </c>
      <c r="AM144" s="92">
        <f t="shared" si="238"/>
        <v>32</v>
      </c>
      <c r="AN144" s="92">
        <f t="shared" si="228"/>
        <v>1</v>
      </c>
      <c r="AO144" s="87">
        <v>2</v>
      </c>
      <c r="AP144" s="87">
        <v>1</v>
      </c>
      <c r="AQ144" s="87">
        <v>1</v>
      </c>
      <c r="AR144" s="87">
        <v>5</v>
      </c>
      <c r="AS144" s="87">
        <v>5</v>
      </c>
      <c r="AT144" s="87">
        <v>1</v>
      </c>
      <c r="AU144" s="87">
        <v>1.3</v>
      </c>
      <c r="AV144" s="87">
        <v>1</v>
      </c>
      <c r="AW144" s="87">
        <f t="shared" si="233"/>
        <v>5.6</v>
      </c>
      <c r="AX144" s="87">
        <f t="shared" si="234"/>
        <v>5.599999999999999</v>
      </c>
      <c r="AY144" s="91">
        <f t="shared" si="235"/>
        <v>4.800000000000001</v>
      </c>
      <c r="AZ144" s="91">
        <f t="shared" si="236"/>
        <v>9.238493723849373</v>
      </c>
      <c r="BA144" s="91"/>
      <c r="BB144" s="73">
        <v>0.02</v>
      </c>
      <c r="BC144" s="73">
        <f t="shared" si="237"/>
        <v>9.053723849372386</v>
      </c>
      <c r="BD144" s="73">
        <v>4.840412061378459</v>
      </c>
      <c r="BE144" s="87">
        <v>5.7504095289176105</v>
      </c>
      <c r="BF144" s="42"/>
      <c r="BG144" s="42"/>
      <c r="BH144" s="42"/>
      <c r="BI144" s="42"/>
      <c r="BJ144" s="42"/>
      <c r="BK144" s="42"/>
      <c r="BL144" s="42"/>
      <c r="BM144" s="42"/>
      <c r="BN144" s="42"/>
      <c r="BO144" s="70"/>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row>
    <row r="145" spans="1:159" s="4" customFormat="1" ht="17.25">
      <c r="A145" s="105">
        <v>138</v>
      </c>
      <c r="B145" s="94" t="s">
        <v>515</v>
      </c>
      <c r="C145" s="75">
        <v>1</v>
      </c>
      <c r="D145" s="94">
        <v>2</v>
      </c>
      <c r="E145" s="75">
        <v>425</v>
      </c>
      <c r="F145" s="75">
        <v>1000</v>
      </c>
      <c r="G145" s="94">
        <f t="shared" si="223"/>
        <v>425</v>
      </c>
      <c r="H145" s="94">
        <v>256</v>
      </c>
      <c r="I145" s="72">
        <v>12</v>
      </c>
      <c r="J145" s="94">
        <v>12</v>
      </c>
      <c r="K145" s="94">
        <v>8</v>
      </c>
      <c r="L145" s="100" t="s">
        <v>453</v>
      </c>
      <c r="M145" s="94">
        <v>12</v>
      </c>
      <c r="N145" s="100" t="s">
        <v>453</v>
      </c>
      <c r="O145" s="94">
        <v>5</v>
      </c>
      <c r="P145" s="77">
        <f t="shared" si="229"/>
        <v>40.09565934242386</v>
      </c>
      <c r="Q145" s="78"/>
      <c r="R145" s="78"/>
      <c r="S145" s="89">
        <v>128</v>
      </c>
      <c r="T145" s="102" t="s">
        <v>47</v>
      </c>
      <c r="U145" s="102" t="s">
        <v>47</v>
      </c>
      <c r="V145" s="94" t="s">
        <v>55</v>
      </c>
      <c r="W145" s="94" t="s">
        <v>42</v>
      </c>
      <c r="X145" s="94" t="s">
        <v>28</v>
      </c>
      <c r="Y145" s="94" t="s">
        <v>23</v>
      </c>
      <c r="Z145" s="95" t="s">
        <v>430</v>
      </c>
      <c r="AA145" s="124" t="s">
        <v>559</v>
      </c>
      <c r="AB145" s="94" t="s">
        <v>454</v>
      </c>
      <c r="AC145" s="96">
        <v>3</v>
      </c>
      <c r="AD145" s="97"/>
      <c r="AE145" s="98" t="s">
        <v>47</v>
      </c>
      <c r="AF145" s="99" t="s">
        <v>47</v>
      </c>
      <c r="AG145" s="94"/>
      <c r="AH145" s="91"/>
      <c r="AI145" s="87">
        <f t="shared" si="230"/>
        <v>5.1</v>
      </c>
      <c r="AJ145" s="91">
        <f t="shared" si="231"/>
        <v>5.1</v>
      </c>
      <c r="AK145" s="91">
        <f t="shared" si="232"/>
        <v>3.4</v>
      </c>
      <c r="AL145" s="87">
        <f t="shared" si="226"/>
        <v>4.25</v>
      </c>
      <c r="AM145" s="92">
        <f t="shared" si="238"/>
        <v>32</v>
      </c>
      <c r="AN145" s="92">
        <f t="shared" si="228"/>
        <v>1</v>
      </c>
      <c r="AO145" s="87">
        <v>2</v>
      </c>
      <c r="AP145" s="87">
        <v>1</v>
      </c>
      <c r="AQ145" s="87">
        <v>1</v>
      </c>
      <c r="AR145" s="87">
        <v>5</v>
      </c>
      <c r="AS145" s="87">
        <v>5</v>
      </c>
      <c r="AT145" s="87">
        <v>1</v>
      </c>
      <c r="AU145" s="87">
        <v>1.3</v>
      </c>
      <c r="AV145" s="87">
        <v>1</v>
      </c>
      <c r="AW145" s="87">
        <f t="shared" si="233"/>
        <v>5.1000000000000005</v>
      </c>
      <c r="AX145" s="87">
        <f t="shared" si="234"/>
        <v>4.707692307692308</v>
      </c>
      <c r="AY145" s="91">
        <f t="shared" si="235"/>
        <v>4.32</v>
      </c>
      <c r="AZ145" s="91">
        <f t="shared" si="236"/>
        <v>8.452573373032752</v>
      </c>
      <c r="BA145" s="91"/>
      <c r="BB145" s="73">
        <v>0.02</v>
      </c>
      <c r="BC145" s="73">
        <f t="shared" si="237"/>
        <v>8.283521905572098</v>
      </c>
      <c r="BD145" s="73">
        <v>4.840412061378459</v>
      </c>
      <c r="BE145" s="87">
        <v>5.7504095289176105</v>
      </c>
      <c r="BF145" s="42"/>
      <c r="BG145" s="42"/>
      <c r="BH145" s="42"/>
      <c r="BI145" s="42"/>
      <c r="BJ145" s="42"/>
      <c r="BK145" s="42"/>
      <c r="BL145" s="42"/>
      <c r="BM145" s="42"/>
      <c r="BN145" s="42"/>
      <c r="BO145" s="70"/>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row>
    <row r="146" spans="1:159" s="4" customFormat="1" ht="17.25">
      <c r="A146" s="105">
        <v>139</v>
      </c>
      <c r="B146" s="94" t="s">
        <v>516</v>
      </c>
      <c r="C146" s="75">
        <v>1</v>
      </c>
      <c r="D146" s="94">
        <v>2</v>
      </c>
      <c r="E146" s="75">
        <v>325</v>
      </c>
      <c r="F146" s="75">
        <v>700</v>
      </c>
      <c r="G146" s="94">
        <f t="shared" si="223"/>
        <v>325</v>
      </c>
      <c r="H146" s="94">
        <v>256</v>
      </c>
      <c r="I146" s="72">
        <v>12</v>
      </c>
      <c r="J146" s="94">
        <v>12</v>
      </c>
      <c r="K146" s="94">
        <v>8</v>
      </c>
      <c r="L146" s="100" t="s">
        <v>453</v>
      </c>
      <c r="M146" s="94">
        <v>12</v>
      </c>
      <c r="N146" s="100" t="s">
        <v>453</v>
      </c>
      <c r="O146" s="94">
        <v>5</v>
      </c>
      <c r="P146" s="77">
        <f t="shared" si="229"/>
        <v>30.24399906701513</v>
      </c>
      <c r="Q146" s="78"/>
      <c r="R146" s="78"/>
      <c r="S146" s="89">
        <v>128</v>
      </c>
      <c r="T146" s="102">
        <v>15</v>
      </c>
      <c r="U146" s="102">
        <v>45</v>
      </c>
      <c r="V146" s="94" t="s">
        <v>55</v>
      </c>
      <c r="W146" s="94" t="s">
        <v>27</v>
      </c>
      <c r="X146" s="94" t="s">
        <v>28</v>
      </c>
      <c r="Y146" s="94" t="s">
        <v>23</v>
      </c>
      <c r="Z146" s="95" t="s">
        <v>430</v>
      </c>
      <c r="AA146" s="124" t="s">
        <v>559</v>
      </c>
      <c r="AB146" s="94" t="s">
        <v>454</v>
      </c>
      <c r="AC146" s="96">
        <v>3</v>
      </c>
      <c r="AD146" s="97">
        <v>288</v>
      </c>
      <c r="AE146" s="98">
        <f>222*C146</f>
        <v>222</v>
      </c>
      <c r="AF146" s="99">
        <v>130</v>
      </c>
      <c r="AG146" s="94"/>
      <c r="AH146" s="91"/>
      <c r="AI146" s="87">
        <f t="shared" si="230"/>
        <v>3.9</v>
      </c>
      <c r="AJ146" s="91">
        <f t="shared" si="231"/>
        <v>3.9</v>
      </c>
      <c r="AK146" s="91">
        <f t="shared" si="232"/>
        <v>2.6</v>
      </c>
      <c r="AL146" s="87">
        <f t="shared" si="226"/>
        <v>3.25</v>
      </c>
      <c r="AM146" s="92">
        <f t="shared" si="238"/>
        <v>22.4</v>
      </c>
      <c r="AN146" s="92">
        <f t="shared" si="228"/>
        <v>1</v>
      </c>
      <c r="AO146" s="87">
        <v>2</v>
      </c>
      <c r="AP146" s="87">
        <v>1</v>
      </c>
      <c r="AQ146" s="87">
        <v>1</v>
      </c>
      <c r="AR146" s="87">
        <v>5</v>
      </c>
      <c r="AS146" s="87">
        <v>5</v>
      </c>
      <c r="AT146" s="87">
        <v>1</v>
      </c>
      <c r="AU146" s="87">
        <v>1.3</v>
      </c>
      <c r="AV146" s="87">
        <v>1</v>
      </c>
      <c r="AW146" s="87">
        <f t="shared" si="233"/>
        <v>3.9</v>
      </c>
      <c r="AX146" s="87">
        <f t="shared" si="234"/>
        <v>3.6</v>
      </c>
      <c r="AY146" s="91">
        <f t="shared" si="235"/>
        <v>3.303529411764706</v>
      </c>
      <c r="AZ146" s="91">
        <f t="shared" si="236"/>
        <v>6.375743045517046</v>
      </c>
      <c r="BA146" s="91"/>
      <c r="BB146" s="73">
        <v>0.02</v>
      </c>
      <c r="BC146" s="73">
        <f t="shared" si="237"/>
        <v>6.248228184606705</v>
      </c>
      <c r="BD146" s="73">
        <v>4.840412061378459</v>
      </c>
      <c r="BE146" s="87">
        <v>5.7504095289176105</v>
      </c>
      <c r="BF146" s="42"/>
      <c r="BG146" s="42"/>
      <c r="BH146" s="42"/>
      <c r="BI146" s="42"/>
      <c r="BJ146" s="42"/>
      <c r="BK146" s="42"/>
      <c r="BL146" s="42"/>
      <c r="BM146" s="42"/>
      <c r="BN146" s="42"/>
      <c r="BO146" s="70"/>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row>
    <row r="147" spans="1:159" s="4" customFormat="1" ht="17.25">
      <c r="A147" s="105">
        <v>140</v>
      </c>
      <c r="B147" s="94" t="s">
        <v>517</v>
      </c>
      <c r="C147" s="75">
        <v>1</v>
      </c>
      <c r="D147" s="94">
        <v>2</v>
      </c>
      <c r="E147" s="75">
        <v>325</v>
      </c>
      <c r="F147" s="75">
        <v>700</v>
      </c>
      <c r="G147" s="94">
        <f t="shared" si="223"/>
        <v>325</v>
      </c>
      <c r="H147" s="94">
        <v>256</v>
      </c>
      <c r="I147" s="72">
        <v>8</v>
      </c>
      <c r="J147" s="94">
        <v>8</v>
      </c>
      <c r="K147" s="94">
        <v>8</v>
      </c>
      <c r="L147" s="100" t="s">
        <v>453</v>
      </c>
      <c r="M147" s="94">
        <v>8</v>
      </c>
      <c r="N147" s="100" t="s">
        <v>453</v>
      </c>
      <c r="O147" s="94">
        <v>4</v>
      </c>
      <c r="P147" s="77">
        <f t="shared" si="229"/>
        <v>21.52976797775645</v>
      </c>
      <c r="Q147" s="78"/>
      <c r="R147" s="78"/>
      <c r="S147" s="89">
        <v>128</v>
      </c>
      <c r="T147" s="102" t="s">
        <v>47</v>
      </c>
      <c r="U147" s="102" t="s">
        <v>47</v>
      </c>
      <c r="V147" s="94" t="s">
        <v>55</v>
      </c>
      <c r="W147" s="94" t="s">
        <v>27</v>
      </c>
      <c r="X147" s="94" t="s">
        <v>28</v>
      </c>
      <c r="Y147" s="94" t="s">
        <v>23</v>
      </c>
      <c r="Z147" s="95" t="s">
        <v>430</v>
      </c>
      <c r="AA147" s="124" t="s">
        <v>559</v>
      </c>
      <c r="AB147" s="94" t="s">
        <v>454</v>
      </c>
      <c r="AC147" s="96">
        <v>3</v>
      </c>
      <c r="AD147" s="97"/>
      <c r="AE147" s="98" t="s">
        <v>47</v>
      </c>
      <c r="AF147" s="99" t="s">
        <v>47</v>
      </c>
      <c r="AG147" s="94"/>
      <c r="AH147" s="91"/>
      <c r="AI147" s="87">
        <f t="shared" si="230"/>
        <v>2.6</v>
      </c>
      <c r="AJ147" s="91">
        <f t="shared" si="231"/>
        <v>2.6</v>
      </c>
      <c r="AK147" s="91">
        <f t="shared" si="232"/>
        <v>2.6</v>
      </c>
      <c r="AL147" s="87">
        <f t="shared" si="226"/>
        <v>2.1666666666666665</v>
      </c>
      <c r="AM147" s="92">
        <f t="shared" si="238"/>
        <v>22.4</v>
      </c>
      <c r="AN147" s="92">
        <f t="shared" si="228"/>
        <v>1</v>
      </c>
      <c r="AO147" s="87">
        <v>2</v>
      </c>
      <c r="AP147" s="87">
        <v>1</v>
      </c>
      <c r="AQ147" s="87">
        <v>1</v>
      </c>
      <c r="AR147" s="87">
        <v>5</v>
      </c>
      <c r="AS147" s="87">
        <v>5</v>
      </c>
      <c r="AT147" s="87">
        <v>1</v>
      </c>
      <c r="AU147" s="87">
        <v>1.3</v>
      </c>
      <c r="AV147" s="87">
        <v>1</v>
      </c>
      <c r="AW147" s="87">
        <f t="shared" si="233"/>
        <v>2.6</v>
      </c>
      <c r="AX147" s="87">
        <f t="shared" si="234"/>
        <v>2.6</v>
      </c>
      <c r="AY147" s="91">
        <f t="shared" si="235"/>
        <v>2.2285714285714286</v>
      </c>
      <c r="AZ147" s="91">
        <f t="shared" si="236"/>
        <v>4.538694375423537</v>
      </c>
      <c r="BA147" s="91"/>
      <c r="BB147" s="73">
        <v>0.02</v>
      </c>
      <c r="BC147" s="73">
        <f t="shared" si="237"/>
        <v>4.4479204879150664</v>
      </c>
      <c r="BD147" s="73">
        <v>4.840412061378459</v>
      </c>
      <c r="BE147" s="87">
        <v>5.7504095289176105</v>
      </c>
      <c r="BF147" s="42"/>
      <c r="BG147" s="42"/>
      <c r="BH147" s="42"/>
      <c r="BI147" s="42"/>
      <c r="BJ147" s="42"/>
      <c r="BK147" s="42"/>
      <c r="BL147" s="42"/>
      <c r="BM147" s="42"/>
      <c r="BN147" s="42"/>
      <c r="BO147" s="70"/>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row>
    <row r="148" spans="1:159" s="4" customFormat="1" ht="17.25">
      <c r="A148" s="105">
        <v>141</v>
      </c>
      <c r="B148" s="94" t="s">
        <v>518</v>
      </c>
      <c r="C148" s="75">
        <v>1</v>
      </c>
      <c r="D148" s="94">
        <v>2</v>
      </c>
      <c r="E148" s="75">
        <v>320</v>
      </c>
      <c r="F148" s="75">
        <v>700</v>
      </c>
      <c r="G148" s="94">
        <f t="shared" si="223"/>
        <v>320</v>
      </c>
      <c r="H148" s="94">
        <v>256</v>
      </c>
      <c r="I148" s="72">
        <v>8</v>
      </c>
      <c r="J148" s="94">
        <v>8</v>
      </c>
      <c r="K148" s="94">
        <v>8</v>
      </c>
      <c r="L148" s="100" t="s">
        <v>453</v>
      </c>
      <c r="M148" s="94">
        <v>8</v>
      </c>
      <c r="N148" s="100" t="s">
        <v>453</v>
      </c>
      <c r="O148" s="94">
        <v>4</v>
      </c>
      <c r="P148" s="77">
        <f t="shared" si="229"/>
        <v>21.235956739826825</v>
      </c>
      <c r="Q148" s="78"/>
      <c r="R148" s="78"/>
      <c r="S148" s="89">
        <v>128</v>
      </c>
      <c r="T148" s="102" t="s">
        <v>47</v>
      </c>
      <c r="U148" s="102" t="s">
        <v>47</v>
      </c>
      <c r="V148" s="94" t="s">
        <v>55</v>
      </c>
      <c r="W148" s="94" t="s">
        <v>27</v>
      </c>
      <c r="X148" s="94" t="s">
        <v>28</v>
      </c>
      <c r="Y148" s="94" t="s">
        <v>23</v>
      </c>
      <c r="Z148" s="95" t="s">
        <v>430</v>
      </c>
      <c r="AA148" s="124" t="s">
        <v>559</v>
      </c>
      <c r="AB148" s="94" t="s">
        <v>454</v>
      </c>
      <c r="AC148" s="96">
        <v>3</v>
      </c>
      <c r="AD148" s="97"/>
      <c r="AE148" s="98" t="s">
        <v>47</v>
      </c>
      <c r="AF148" s="99" t="s">
        <v>47</v>
      </c>
      <c r="AG148" s="94"/>
      <c r="AH148" s="91"/>
      <c r="AI148" s="87">
        <f t="shared" si="230"/>
        <v>2.56</v>
      </c>
      <c r="AJ148" s="91">
        <f t="shared" si="231"/>
        <v>2.56</v>
      </c>
      <c r="AK148" s="91">
        <f t="shared" si="232"/>
        <v>2.56</v>
      </c>
      <c r="AL148" s="87">
        <f t="shared" si="226"/>
        <v>2.1333333333333333</v>
      </c>
      <c r="AM148" s="92">
        <f t="shared" si="238"/>
        <v>22.4</v>
      </c>
      <c r="AN148" s="92">
        <f t="shared" si="228"/>
        <v>1</v>
      </c>
      <c r="AO148" s="87">
        <v>2</v>
      </c>
      <c r="AP148" s="87">
        <v>1</v>
      </c>
      <c r="AQ148" s="87">
        <v>1</v>
      </c>
      <c r="AR148" s="87">
        <v>5</v>
      </c>
      <c r="AS148" s="87">
        <v>5</v>
      </c>
      <c r="AT148" s="87">
        <v>1</v>
      </c>
      <c r="AU148" s="87">
        <v>1.3</v>
      </c>
      <c r="AV148" s="87">
        <v>1</v>
      </c>
      <c r="AW148" s="87">
        <f t="shared" si="233"/>
        <v>2.5600000000000005</v>
      </c>
      <c r="AX148" s="87">
        <f t="shared" si="234"/>
        <v>2.5600000000000005</v>
      </c>
      <c r="AY148" s="91">
        <f t="shared" si="235"/>
        <v>2.194285714285714</v>
      </c>
      <c r="AZ148" s="91">
        <f t="shared" si="236"/>
        <v>4.476755973931931</v>
      </c>
      <c r="BA148" s="91"/>
      <c r="BB148" s="73">
        <v>0.02</v>
      </c>
      <c r="BC148" s="73">
        <f t="shared" si="237"/>
        <v>4.387220854453292</v>
      </c>
      <c r="BD148" s="73">
        <v>4.840412061378459</v>
      </c>
      <c r="BE148" s="87">
        <v>5.7504095289176105</v>
      </c>
      <c r="BF148" s="42"/>
      <c r="BG148" s="42"/>
      <c r="BH148" s="42"/>
      <c r="BI148" s="42"/>
      <c r="BJ148" s="42"/>
      <c r="BK148" s="42"/>
      <c r="BL148" s="42"/>
      <c r="BM148" s="42"/>
      <c r="BN148" s="42"/>
      <c r="BO148" s="70"/>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row>
    <row r="149" spans="1:159" s="4" customFormat="1" ht="17.25">
      <c r="A149" s="105">
        <v>142</v>
      </c>
      <c r="B149" s="94" t="s">
        <v>519</v>
      </c>
      <c r="C149" s="75">
        <v>1</v>
      </c>
      <c r="D149" s="94">
        <v>2</v>
      </c>
      <c r="E149" s="75">
        <v>500</v>
      </c>
      <c r="F149" s="75">
        <v>1000</v>
      </c>
      <c r="G149" s="94">
        <f t="shared" si="223"/>
        <v>500</v>
      </c>
      <c r="H149" s="94">
        <v>128</v>
      </c>
      <c r="I149" s="72">
        <v>8</v>
      </c>
      <c r="J149" s="94">
        <v>8</v>
      </c>
      <c r="K149" s="94">
        <v>8</v>
      </c>
      <c r="L149" s="100" t="s">
        <v>453</v>
      </c>
      <c r="M149" s="94">
        <v>8</v>
      </c>
      <c r="N149" s="100" t="s">
        <v>453</v>
      </c>
      <c r="O149" s="94">
        <v>3</v>
      </c>
      <c r="P149" s="77">
        <f t="shared" si="229"/>
        <v>29.25664032093063</v>
      </c>
      <c r="Q149" s="78"/>
      <c r="R149" s="78"/>
      <c r="S149" s="89">
        <v>256</v>
      </c>
      <c r="T149" s="102">
        <v>20</v>
      </c>
      <c r="U149" s="102">
        <v>55</v>
      </c>
      <c r="V149" s="94" t="s">
        <v>55</v>
      </c>
      <c r="W149" s="94" t="s">
        <v>27</v>
      </c>
      <c r="X149" s="94" t="s">
        <v>28</v>
      </c>
      <c r="Y149" s="94" t="s">
        <v>23</v>
      </c>
      <c r="Z149" s="95">
        <v>6.88</v>
      </c>
      <c r="AA149" s="124" t="s">
        <v>559</v>
      </c>
      <c r="AB149" s="94" t="s">
        <v>454</v>
      </c>
      <c r="AC149" s="96">
        <v>3</v>
      </c>
      <c r="AD149" s="97">
        <v>156</v>
      </c>
      <c r="AE149" s="98">
        <f>146*C149</f>
        <v>146</v>
      </c>
      <c r="AF149" s="99">
        <v>110</v>
      </c>
      <c r="AG149" s="94"/>
      <c r="AH149" s="91"/>
      <c r="AI149" s="87">
        <f t="shared" si="230"/>
        <v>4</v>
      </c>
      <c r="AJ149" s="91">
        <f t="shared" si="231"/>
        <v>4</v>
      </c>
      <c r="AK149" s="91">
        <f t="shared" si="232"/>
        <v>4</v>
      </c>
      <c r="AL149" s="87">
        <f t="shared" si="226"/>
        <v>3.3333333333333335</v>
      </c>
      <c r="AM149" s="92">
        <f t="shared" si="238"/>
        <v>16</v>
      </c>
      <c r="AN149" s="92">
        <f t="shared" si="228"/>
        <v>1</v>
      </c>
      <c r="AO149" s="87">
        <v>2</v>
      </c>
      <c r="AP149" s="87">
        <v>1</v>
      </c>
      <c r="AQ149" s="87">
        <v>1</v>
      </c>
      <c r="AR149" s="87">
        <v>5</v>
      </c>
      <c r="AS149" s="87">
        <v>5</v>
      </c>
      <c r="AT149" s="87">
        <v>1</v>
      </c>
      <c r="AU149" s="87">
        <v>1.3</v>
      </c>
      <c r="AV149" s="87">
        <v>1</v>
      </c>
      <c r="AW149" s="87">
        <f t="shared" si="233"/>
        <v>4</v>
      </c>
      <c r="AX149" s="87">
        <f t="shared" si="234"/>
        <v>4</v>
      </c>
      <c r="AY149" s="91">
        <f t="shared" si="235"/>
        <v>3.428571428571429</v>
      </c>
      <c r="AZ149" s="91">
        <f t="shared" si="236"/>
        <v>6.167597765363129</v>
      </c>
      <c r="BA149" s="91"/>
      <c r="BB149" s="73">
        <v>0.02</v>
      </c>
      <c r="BC149" s="73">
        <f t="shared" si="237"/>
        <v>6.044245810055866</v>
      </c>
      <c r="BD149" s="73">
        <v>4.840412061378459</v>
      </c>
      <c r="BE149" s="87">
        <v>5.7504095289176105</v>
      </c>
      <c r="BF149" s="42"/>
      <c r="BG149" s="42"/>
      <c r="BH149" s="42"/>
      <c r="BI149" s="42"/>
      <c r="BJ149" s="42"/>
      <c r="BK149" s="42"/>
      <c r="BL149" s="42"/>
      <c r="BM149" s="42"/>
      <c r="BN149" s="42"/>
      <c r="BO149" s="70"/>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row>
    <row r="150" spans="1:159" s="4" customFormat="1" ht="17.25">
      <c r="A150" s="105">
        <v>143</v>
      </c>
      <c r="B150" s="94" t="s">
        <v>520</v>
      </c>
      <c r="C150" s="75">
        <v>1</v>
      </c>
      <c r="D150" s="94">
        <v>2</v>
      </c>
      <c r="E150" s="75">
        <v>300</v>
      </c>
      <c r="F150" s="75">
        <v>550</v>
      </c>
      <c r="G150" s="94">
        <f t="shared" si="223"/>
        <v>300</v>
      </c>
      <c r="H150" s="94">
        <v>128</v>
      </c>
      <c r="I150" s="72">
        <v>8</v>
      </c>
      <c r="J150" s="94">
        <v>8</v>
      </c>
      <c r="K150" s="94">
        <v>8</v>
      </c>
      <c r="L150" s="100" t="s">
        <v>453</v>
      </c>
      <c r="M150" s="94">
        <v>8</v>
      </c>
      <c r="N150" s="100" t="s">
        <v>453</v>
      </c>
      <c r="O150" s="94">
        <v>3</v>
      </c>
      <c r="P150" s="77">
        <f t="shared" si="229"/>
        <v>17.31392820475251</v>
      </c>
      <c r="Q150" s="78"/>
      <c r="R150" s="78"/>
      <c r="S150" s="89">
        <v>128</v>
      </c>
      <c r="T150" s="102">
        <v>12</v>
      </c>
      <c r="U150" s="102">
        <v>35</v>
      </c>
      <c r="V150" s="94" t="s">
        <v>55</v>
      </c>
      <c r="W150" s="94" t="s">
        <v>27</v>
      </c>
      <c r="X150" s="94" t="s">
        <v>28</v>
      </c>
      <c r="Y150" s="94" t="s">
        <v>23</v>
      </c>
      <c r="Z150" s="95" t="s">
        <v>430</v>
      </c>
      <c r="AA150" s="124" t="s">
        <v>559</v>
      </c>
      <c r="AB150" s="94" t="s">
        <v>454</v>
      </c>
      <c r="AC150" s="96">
        <v>2</v>
      </c>
      <c r="AD150" s="97">
        <v>156</v>
      </c>
      <c r="AE150" s="98">
        <f>146*C150</f>
        <v>146</v>
      </c>
      <c r="AF150" s="99">
        <v>110</v>
      </c>
      <c r="AG150" s="94"/>
      <c r="AH150" s="91"/>
      <c r="AI150" s="87">
        <f t="shared" si="230"/>
        <v>2.4</v>
      </c>
      <c r="AJ150" s="91">
        <f t="shared" si="231"/>
        <v>2.4</v>
      </c>
      <c r="AK150" s="91">
        <f t="shared" si="232"/>
        <v>2.4</v>
      </c>
      <c r="AL150" s="87">
        <f t="shared" si="226"/>
        <v>2</v>
      </c>
      <c r="AM150" s="92">
        <f t="shared" si="238"/>
        <v>9.025641025641026</v>
      </c>
      <c r="AN150" s="92">
        <f t="shared" si="228"/>
        <v>1</v>
      </c>
      <c r="AO150" s="87">
        <v>2</v>
      </c>
      <c r="AP150" s="87">
        <v>1</v>
      </c>
      <c r="AQ150" s="87">
        <v>1</v>
      </c>
      <c r="AR150" s="87">
        <v>5</v>
      </c>
      <c r="AS150" s="87">
        <v>5</v>
      </c>
      <c r="AT150" s="87">
        <v>1</v>
      </c>
      <c r="AU150" s="87">
        <v>1.3</v>
      </c>
      <c r="AV150" s="87">
        <v>1</v>
      </c>
      <c r="AW150" s="87">
        <f t="shared" si="233"/>
        <v>2.4000000000000004</v>
      </c>
      <c r="AX150" s="87">
        <f t="shared" si="234"/>
        <v>2.4</v>
      </c>
      <c r="AY150" s="91">
        <f t="shared" si="235"/>
        <v>2.057142857142857</v>
      </c>
      <c r="AZ150" s="91">
        <f t="shared" si="236"/>
        <v>3.649952411962129</v>
      </c>
      <c r="BA150" s="91"/>
      <c r="BB150" s="73">
        <v>0.02</v>
      </c>
      <c r="BC150" s="73">
        <f t="shared" si="237"/>
        <v>3.5769533637228865</v>
      </c>
      <c r="BD150" s="73">
        <v>4.840412061378459</v>
      </c>
      <c r="BE150" s="87">
        <v>5.7504095289176105</v>
      </c>
      <c r="BF150" s="42"/>
      <c r="BG150" s="42"/>
      <c r="BH150" s="42"/>
      <c r="BI150" s="42"/>
      <c r="BJ150" s="42"/>
      <c r="BK150" s="42"/>
      <c r="BL150" s="42"/>
      <c r="BM150" s="42"/>
      <c r="BN150" s="42"/>
      <c r="BO150" s="70"/>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row>
    <row r="151" spans="1:159" s="4" customFormat="1" ht="17.25">
      <c r="A151" s="105">
        <v>144</v>
      </c>
      <c r="B151" s="94" t="s">
        <v>521</v>
      </c>
      <c r="C151" s="75">
        <v>1</v>
      </c>
      <c r="D151" s="94">
        <v>2</v>
      </c>
      <c r="E151" s="75">
        <v>300</v>
      </c>
      <c r="F151" s="75">
        <v>550</v>
      </c>
      <c r="G151" s="94">
        <f t="shared" si="223"/>
        <v>300</v>
      </c>
      <c r="H151" s="94">
        <v>128</v>
      </c>
      <c r="I151" s="72">
        <v>4</v>
      </c>
      <c r="J151" s="94">
        <v>4</v>
      </c>
      <c r="K151" s="94">
        <v>4</v>
      </c>
      <c r="L151" s="100" t="s">
        <v>453</v>
      </c>
      <c r="M151" s="94">
        <v>4</v>
      </c>
      <c r="N151" s="100" t="s">
        <v>453</v>
      </c>
      <c r="O151" s="94">
        <v>3</v>
      </c>
      <c r="P151" s="77">
        <f t="shared" si="229"/>
        <v>9.773999625356288</v>
      </c>
      <c r="Q151" s="78"/>
      <c r="R151" s="78"/>
      <c r="S151" s="89">
        <v>128</v>
      </c>
      <c r="T151" s="102">
        <v>11</v>
      </c>
      <c r="U151" s="102">
        <v>30</v>
      </c>
      <c r="V151" s="94" t="s">
        <v>55</v>
      </c>
      <c r="W151" s="94" t="s">
        <v>27</v>
      </c>
      <c r="X151" s="94" t="s">
        <v>28</v>
      </c>
      <c r="Y151" s="94" t="s">
        <v>23</v>
      </c>
      <c r="Z151" s="95">
        <v>6.6</v>
      </c>
      <c r="AA151" s="123" t="s">
        <v>556</v>
      </c>
      <c r="AB151" s="94" t="s">
        <v>454</v>
      </c>
      <c r="AC151" s="96">
        <v>2</v>
      </c>
      <c r="AD151" s="97">
        <v>156</v>
      </c>
      <c r="AE151" s="98">
        <f>146*C151</f>
        <v>146</v>
      </c>
      <c r="AF151" s="99">
        <v>110</v>
      </c>
      <c r="AG151" s="94"/>
      <c r="AH151" s="91"/>
      <c r="AI151" s="87">
        <f t="shared" si="230"/>
        <v>1.2</v>
      </c>
      <c r="AJ151" s="91">
        <f t="shared" si="231"/>
        <v>1.2</v>
      </c>
      <c r="AK151" s="91">
        <f t="shared" si="232"/>
        <v>1.2</v>
      </c>
      <c r="AL151" s="87">
        <f t="shared" si="226"/>
        <v>1</v>
      </c>
      <c r="AM151" s="92">
        <f t="shared" si="238"/>
        <v>9.025641025641026</v>
      </c>
      <c r="AN151" s="92">
        <f t="shared" si="228"/>
        <v>1</v>
      </c>
      <c r="AO151" s="87">
        <v>2</v>
      </c>
      <c r="AP151" s="87">
        <v>1</v>
      </c>
      <c r="AQ151" s="87">
        <v>1</v>
      </c>
      <c r="AR151" s="87">
        <v>5</v>
      </c>
      <c r="AS151" s="87">
        <v>5</v>
      </c>
      <c r="AT151" s="87">
        <v>1</v>
      </c>
      <c r="AU151" s="87">
        <v>1.3</v>
      </c>
      <c r="AV151" s="87">
        <v>1</v>
      </c>
      <c r="AW151" s="87">
        <f t="shared" si="233"/>
        <v>1.2000000000000002</v>
      </c>
      <c r="AX151" s="87">
        <f t="shared" si="234"/>
        <v>1.2</v>
      </c>
      <c r="AY151" s="91">
        <f t="shared" si="235"/>
        <v>1.0285714285714285</v>
      </c>
      <c r="AZ151" s="91">
        <f t="shared" si="236"/>
        <v>2.060458671492803</v>
      </c>
      <c r="BA151" s="91"/>
      <c r="BB151" s="73">
        <v>0.02</v>
      </c>
      <c r="BC151" s="73">
        <f t="shared" si="237"/>
        <v>2.0192494980629467</v>
      </c>
      <c r="BD151" s="73">
        <v>4.840412061378459</v>
      </c>
      <c r="BE151" s="87">
        <v>5.7504095289176105</v>
      </c>
      <c r="BF151" s="42"/>
      <c r="BG151" s="42"/>
      <c r="BH151" s="42"/>
      <c r="BI151" s="42"/>
      <c r="BJ151" s="42"/>
      <c r="BK151" s="42"/>
      <c r="BL151" s="42"/>
      <c r="BM151" s="42"/>
      <c r="BN151" s="42"/>
      <c r="BO151" s="70"/>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row>
    <row r="152" spans="9:50" ht="15" customHeight="1">
      <c r="I152" s="9"/>
      <c r="L152" s="12"/>
      <c r="N152" s="12"/>
      <c r="P152" s="10"/>
      <c r="Q152" s="10"/>
      <c r="R152" s="10"/>
      <c r="AB152" s="11"/>
      <c r="AI152" s="3"/>
      <c r="AL152" s="3"/>
      <c r="AN152" s="3"/>
      <c r="AO152" s="3"/>
      <c r="AP152" s="3"/>
      <c r="AQ152" s="3"/>
      <c r="AR152" s="3"/>
      <c r="AS152" s="3"/>
      <c r="AT152" s="3"/>
      <c r="AU152" s="3"/>
      <c r="AV152" s="3"/>
      <c r="AW152" s="3"/>
      <c r="AX152" s="3"/>
    </row>
    <row r="153" spans="9:50" ht="15" customHeight="1">
      <c r="I153" s="9"/>
      <c r="L153" s="12"/>
      <c r="N153" s="12"/>
      <c r="P153" s="10"/>
      <c r="Q153" s="10"/>
      <c r="R153" s="10"/>
      <c r="AB153" s="11"/>
      <c r="AI153" s="3"/>
      <c r="AL153" s="3"/>
      <c r="AN153" s="3"/>
      <c r="AO153" s="3"/>
      <c r="AP153" s="3"/>
      <c r="AQ153" s="3"/>
      <c r="AR153" s="3"/>
      <c r="AS153" s="3"/>
      <c r="AT153" s="3"/>
      <c r="AU153" s="3"/>
      <c r="AV153" s="3"/>
      <c r="AW153" s="3"/>
      <c r="AX153" s="3"/>
    </row>
    <row r="155" ht="14.25">
      <c r="E155" s="1" t="s">
        <v>284</v>
      </c>
    </row>
    <row r="165" spans="17:18" ht="14.25">
      <c r="Q165" s="13"/>
      <c r="R165" s="13"/>
    </row>
  </sheetData>
  <autoFilter ref="A2:BP151"/>
  <mergeCells count="4">
    <mergeCell ref="C1:S1"/>
    <mergeCell ref="AC1:AF1"/>
    <mergeCell ref="AH1:FC1"/>
    <mergeCell ref="T1:AA1"/>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6"/>
  <sheetViews>
    <sheetView workbookViewId="0" topLeftCell="A1">
      <selection activeCell="A32" sqref="A32"/>
    </sheetView>
  </sheetViews>
  <sheetFormatPr defaultColWidth="9.00390625" defaultRowHeight="16.5"/>
  <sheetData>
    <row r="1" ht="16.5">
      <c r="A1" t="s">
        <v>326</v>
      </c>
    </row>
    <row r="2" spans="1:7" ht="16.5">
      <c r="A2" t="s">
        <v>327</v>
      </c>
      <c r="B2" s="56" t="s">
        <v>328</v>
      </c>
      <c r="C2" t="s">
        <v>329</v>
      </c>
      <c r="D2" s="56" t="s">
        <v>328</v>
      </c>
      <c r="E2" t="s">
        <v>330</v>
      </c>
      <c r="F2" s="56" t="s">
        <v>328</v>
      </c>
      <c r="G2" t="s">
        <v>331</v>
      </c>
    </row>
    <row r="4" ht="16.5">
      <c r="A4" t="s">
        <v>332</v>
      </c>
    </row>
    <row r="5" ht="16.5">
      <c r="A5" t="s">
        <v>333</v>
      </c>
    </row>
    <row r="6" ht="16.5">
      <c r="A6" t="s">
        <v>334</v>
      </c>
    </row>
    <row r="7" ht="16.5">
      <c r="A7" t="s">
        <v>335</v>
      </c>
    </row>
    <row r="8" ht="16.5">
      <c r="A8" t="s">
        <v>336</v>
      </c>
    </row>
    <row r="9" ht="16.5">
      <c r="A9" t="s">
        <v>337</v>
      </c>
    </row>
    <row r="10" ht="16.5">
      <c r="A10" t="s">
        <v>338</v>
      </c>
    </row>
    <row r="12" ht="16.5">
      <c r="A12" t="s">
        <v>346</v>
      </c>
    </row>
    <row r="13" ht="16.5">
      <c r="B13" t="s">
        <v>340</v>
      </c>
    </row>
    <row r="14" ht="16.5">
      <c r="B14" t="s">
        <v>341</v>
      </c>
    </row>
    <row r="15" spans="1:3" ht="16.5">
      <c r="A15" s="56" t="s">
        <v>339</v>
      </c>
      <c r="B15" t="s">
        <v>342</v>
      </c>
      <c r="C15" s="56" t="s">
        <v>344</v>
      </c>
    </row>
    <row r="16" ht="16.5">
      <c r="B16" t="s">
        <v>343</v>
      </c>
    </row>
    <row r="17" spans="1:2" ht="16.5">
      <c r="A17" t="s">
        <v>345</v>
      </c>
      <c r="B17" t="s">
        <v>368</v>
      </c>
    </row>
    <row r="19" ht="16.5">
      <c r="A19" s="57" t="s">
        <v>347</v>
      </c>
    </row>
    <row r="20" ht="16.5">
      <c r="A20" t="s">
        <v>348</v>
      </c>
    </row>
    <row r="22" ht="16.5">
      <c r="A22" t="s">
        <v>349</v>
      </c>
    </row>
    <row r="23" ht="16.5">
      <c r="A23" t="s">
        <v>350</v>
      </c>
    </row>
    <row r="24" ht="16.5">
      <c r="A24" t="s">
        <v>354</v>
      </c>
    </row>
    <row r="25" ht="16.5">
      <c r="A25" t="s">
        <v>355</v>
      </c>
    </row>
    <row r="26" ht="16.5">
      <c r="A26" t="s">
        <v>351</v>
      </c>
    </row>
    <row r="27" ht="16.5">
      <c r="A27" t="s">
        <v>352</v>
      </c>
    </row>
    <row r="28" ht="16.5">
      <c r="A28" t="s">
        <v>353</v>
      </c>
    </row>
    <row r="29" ht="16.5">
      <c r="A29" t="s">
        <v>357</v>
      </c>
    </row>
    <row r="31" ht="16.5">
      <c r="A31" t="s">
        <v>369</v>
      </c>
    </row>
    <row r="32" ht="16.5">
      <c r="A32" t="s">
        <v>356</v>
      </c>
    </row>
    <row r="33" ht="16.5">
      <c r="A33" t="s">
        <v>358</v>
      </c>
    </row>
    <row r="34" ht="16.5">
      <c r="A34" t="s">
        <v>359</v>
      </c>
    </row>
    <row r="35" ht="16.5">
      <c r="A35" t="s">
        <v>360</v>
      </c>
    </row>
    <row r="36" ht="16.5">
      <c r="A36" t="s">
        <v>361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17"/>
  <sheetViews>
    <sheetView workbookViewId="0" topLeftCell="A292">
      <selection activeCell="E317" sqref="E317"/>
    </sheetView>
  </sheetViews>
  <sheetFormatPr defaultColWidth="9.00390625" defaultRowHeight="16.5"/>
  <cols>
    <col min="1" max="16384" width="9.00390625" style="42" customWidth="1"/>
  </cols>
  <sheetData>
    <row r="1" ht="16.5">
      <c r="A1" s="42" t="s">
        <v>142</v>
      </c>
    </row>
    <row r="2" ht="16.5">
      <c r="A2" s="42" t="s">
        <v>143</v>
      </c>
    </row>
    <row r="3" ht="16.5">
      <c r="A3" s="42" t="s">
        <v>144</v>
      </c>
    </row>
    <row r="4" ht="16.5">
      <c r="A4" s="42" t="s">
        <v>145</v>
      </c>
    </row>
    <row r="6" ht="16.5">
      <c r="A6" s="42" t="s">
        <v>146</v>
      </c>
    </row>
    <row r="7" ht="16.5">
      <c r="A7" s="42" t="s">
        <v>147</v>
      </c>
    </row>
    <row r="8" ht="16.5">
      <c r="A8" s="42" t="s">
        <v>148</v>
      </c>
    </row>
    <row r="9" ht="16.5">
      <c r="A9" s="42" t="s">
        <v>149</v>
      </c>
    </row>
    <row r="11" ht="16.5">
      <c r="A11" s="42" t="s">
        <v>150</v>
      </c>
    </row>
    <row r="12" ht="16.5">
      <c r="A12" s="42" t="s">
        <v>151</v>
      </c>
    </row>
    <row r="13" ht="16.5">
      <c r="A13" s="42" t="s">
        <v>152</v>
      </c>
    </row>
    <row r="15" ht="16.5">
      <c r="A15" s="42" t="s">
        <v>153</v>
      </c>
    </row>
    <row r="16" ht="16.5">
      <c r="A16" s="42" t="s">
        <v>154</v>
      </c>
    </row>
    <row r="17" ht="16.5">
      <c r="A17" s="42" t="s">
        <v>155</v>
      </c>
    </row>
    <row r="19" ht="16.5">
      <c r="A19" s="42" t="s">
        <v>156</v>
      </c>
    </row>
    <row r="20" ht="16.5">
      <c r="A20" s="42" t="s">
        <v>157</v>
      </c>
    </row>
    <row r="21" ht="16.5">
      <c r="A21" s="42" t="s">
        <v>158</v>
      </c>
    </row>
    <row r="23" ht="16.5">
      <c r="A23" s="42" t="s">
        <v>159</v>
      </c>
    </row>
    <row r="24" ht="16.5">
      <c r="A24" s="42" t="s">
        <v>160</v>
      </c>
    </row>
    <row r="25" ht="16.5">
      <c r="A25" s="42" t="s">
        <v>161</v>
      </c>
    </row>
    <row r="26" ht="16.5">
      <c r="A26" s="42" t="s">
        <v>162</v>
      </c>
    </row>
    <row r="27" ht="16.5">
      <c r="A27" s="42" t="s">
        <v>163</v>
      </c>
    </row>
    <row r="29" ht="16.5">
      <c r="A29" s="42" t="s">
        <v>164</v>
      </c>
    </row>
    <row r="30" ht="16.5">
      <c r="A30" s="42" t="s">
        <v>165</v>
      </c>
    </row>
    <row r="31" ht="16.5">
      <c r="A31" s="42" t="s">
        <v>166</v>
      </c>
    </row>
    <row r="33" ht="16.5">
      <c r="A33" s="42" t="s">
        <v>167</v>
      </c>
    </row>
    <row r="34" ht="16.5">
      <c r="A34" s="42" t="s">
        <v>168</v>
      </c>
    </row>
    <row r="35" ht="16.5">
      <c r="A35" s="42" t="s">
        <v>169</v>
      </c>
    </row>
    <row r="36" ht="16.5">
      <c r="A36" s="43" t="s">
        <v>127</v>
      </c>
    </row>
    <row r="38" ht="16.5">
      <c r="A38" s="42" t="s">
        <v>170</v>
      </c>
    </row>
    <row r="39" ht="16.5">
      <c r="A39" s="43" t="s">
        <v>128</v>
      </c>
    </row>
    <row r="41" ht="16.5">
      <c r="A41" s="42" t="s">
        <v>171</v>
      </c>
    </row>
    <row r="42" ht="16.5">
      <c r="A42" s="42" t="s">
        <v>172</v>
      </c>
    </row>
    <row r="43" ht="16.5">
      <c r="A43" s="43" t="s">
        <v>129</v>
      </c>
    </row>
    <row r="44" ht="16.5">
      <c r="A44" s="42" t="s">
        <v>173</v>
      </c>
    </row>
    <row r="45" ht="16.5">
      <c r="A45" s="43" t="s">
        <v>130</v>
      </c>
    </row>
    <row r="46" ht="16.5">
      <c r="A46" s="43" t="s">
        <v>131</v>
      </c>
    </row>
    <row r="47" ht="16.5">
      <c r="A47" s="42" t="s">
        <v>174</v>
      </c>
    </row>
    <row r="48" ht="16.5">
      <c r="A48" s="43" t="s">
        <v>132</v>
      </c>
    </row>
    <row r="49" ht="16.5">
      <c r="A49" s="43" t="s">
        <v>133</v>
      </c>
    </row>
    <row r="50" ht="16.5">
      <c r="A50" s="43" t="s">
        <v>134</v>
      </c>
    </row>
    <row r="51" ht="16.5">
      <c r="A51" s="43" t="s">
        <v>135</v>
      </c>
    </row>
    <row r="53" ht="16.5">
      <c r="A53" s="42" t="s">
        <v>175</v>
      </c>
    </row>
    <row r="55" ht="15">
      <c r="A55" s="42">
        <v>1</v>
      </c>
    </row>
    <row r="56" ht="16.5">
      <c r="A56" s="43" t="s">
        <v>136</v>
      </c>
    </row>
    <row r="57" ht="16.5">
      <c r="A57" s="42" t="s">
        <v>176</v>
      </c>
    </row>
    <row r="58" ht="16.5">
      <c r="A58" s="42" t="s">
        <v>177</v>
      </c>
    </row>
    <row r="60" ht="16.5">
      <c r="A60" s="42" t="s">
        <v>178</v>
      </c>
    </row>
    <row r="61" ht="16.5">
      <c r="A61" s="43" t="s">
        <v>137</v>
      </c>
    </row>
    <row r="62" ht="16.5">
      <c r="A62" s="43" t="s">
        <v>179</v>
      </c>
    </row>
    <row r="63" ht="16.5">
      <c r="A63" s="43" t="s">
        <v>180</v>
      </c>
    </row>
    <row r="64" ht="16.5">
      <c r="A64" s="42" t="s">
        <v>181</v>
      </c>
    </row>
    <row r="65" ht="16.5">
      <c r="A65" s="43" t="s">
        <v>182</v>
      </c>
    </row>
    <row r="66" ht="16.5">
      <c r="A66" s="42" t="s">
        <v>183</v>
      </c>
    </row>
    <row r="67" ht="16.5">
      <c r="A67" s="43" t="s">
        <v>184</v>
      </c>
    </row>
    <row r="69" ht="16.5">
      <c r="A69" s="42" t="s">
        <v>185</v>
      </c>
    </row>
    <row r="71" ht="16.5">
      <c r="A71" s="42" t="s">
        <v>186</v>
      </c>
    </row>
    <row r="72" ht="16.5">
      <c r="A72" s="42" t="s">
        <v>187</v>
      </c>
    </row>
    <row r="73" ht="16.5">
      <c r="A73" s="42" t="s">
        <v>188</v>
      </c>
    </row>
    <row r="74" ht="16.5">
      <c r="A74" s="42" t="s">
        <v>189</v>
      </c>
    </row>
    <row r="76" ht="16.5">
      <c r="A76" s="42" t="s">
        <v>190</v>
      </c>
    </row>
    <row r="77" ht="16.5">
      <c r="A77" s="42" t="s">
        <v>191</v>
      </c>
    </row>
    <row r="78" ht="16.5">
      <c r="A78" s="42" t="s">
        <v>192</v>
      </c>
    </row>
    <row r="79" ht="16.5">
      <c r="A79" s="42" t="s">
        <v>193</v>
      </c>
    </row>
    <row r="80" ht="16.5">
      <c r="A80" s="43" t="s">
        <v>138</v>
      </c>
    </row>
    <row r="81" ht="16.5">
      <c r="A81" s="43" t="s">
        <v>139</v>
      </c>
    </row>
    <row r="82" ht="16.5">
      <c r="A82" s="42" t="s">
        <v>194</v>
      </c>
    </row>
    <row r="83" ht="16.5">
      <c r="A83" s="43" t="s">
        <v>195</v>
      </c>
    </row>
    <row r="84" ht="16.5">
      <c r="A84" s="43" t="s">
        <v>140</v>
      </c>
    </row>
    <row r="85" ht="16.5">
      <c r="A85" s="42" t="s">
        <v>196</v>
      </c>
    </row>
    <row r="87" ht="16.5">
      <c r="A87" s="42" t="s">
        <v>197</v>
      </c>
    </row>
    <row r="88" ht="16.5">
      <c r="A88" s="42" t="s">
        <v>198</v>
      </c>
    </row>
    <row r="89" ht="16.5">
      <c r="A89" s="42" t="s">
        <v>199</v>
      </c>
    </row>
    <row r="90" ht="16.5">
      <c r="A90" s="42" t="s">
        <v>200</v>
      </c>
    </row>
    <row r="92" ht="16.5">
      <c r="A92" s="42" t="s">
        <v>201</v>
      </c>
    </row>
    <row r="93" ht="16.5">
      <c r="A93" s="42" t="s">
        <v>202</v>
      </c>
    </row>
    <row r="94" ht="16.5">
      <c r="A94" s="42" t="s">
        <v>203</v>
      </c>
    </row>
    <row r="95" ht="16.5">
      <c r="A95" s="42" t="s">
        <v>204</v>
      </c>
    </row>
    <row r="96" ht="16.5">
      <c r="A96" s="42" t="s">
        <v>205</v>
      </c>
    </row>
    <row r="97" ht="16.5">
      <c r="A97" s="43" t="s">
        <v>206</v>
      </c>
    </row>
    <row r="98" ht="16.5">
      <c r="A98" s="42" t="s">
        <v>207</v>
      </c>
    </row>
    <row r="99" ht="16.5">
      <c r="A99" s="42" t="s">
        <v>208</v>
      </c>
    </row>
    <row r="100" ht="16.5">
      <c r="A100" s="42" t="s">
        <v>209</v>
      </c>
    </row>
    <row r="102" ht="16.5">
      <c r="A102" s="42" t="s">
        <v>210</v>
      </c>
    </row>
    <row r="103" ht="16.5">
      <c r="A103" s="42" t="s">
        <v>211</v>
      </c>
    </row>
    <row r="104" ht="16.5">
      <c r="A104" s="42" t="s">
        <v>212</v>
      </c>
    </row>
    <row r="105" ht="16.5">
      <c r="A105" s="42" t="s">
        <v>213</v>
      </c>
    </row>
    <row r="106" ht="16.5">
      <c r="A106" s="42" t="s">
        <v>214</v>
      </c>
    </row>
    <row r="107" ht="16.5">
      <c r="A107" s="42" t="s">
        <v>215</v>
      </c>
    </row>
    <row r="108" ht="16.5">
      <c r="A108" s="42" t="s">
        <v>216</v>
      </c>
    </row>
    <row r="109" ht="16.5">
      <c r="A109" s="42" t="s">
        <v>217</v>
      </c>
    </row>
    <row r="111" ht="16.5">
      <c r="A111" s="42" t="s">
        <v>218</v>
      </c>
    </row>
    <row r="112" ht="16.5">
      <c r="A112" s="42" t="s">
        <v>219</v>
      </c>
    </row>
    <row r="113" ht="16.5">
      <c r="A113" s="42" t="s">
        <v>220</v>
      </c>
    </row>
    <row r="114" ht="16.5">
      <c r="A114" s="42" t="s">
        <v>221</v>
      </c>
    </row>
    <row r="115" ht="16.5">
      <c r="A115" s="42" t="s">
        <v>222</v>
      </c>
    </row>
    <row r="116" ht="16.5">
      <c r="A116" s="42" t="s">
        <v>223</v>
      </c>
    </row>
    <row r="117" ht="16.5">
      <c r="A117" s="42" t="s">
        <v>224</v>
      </c>
    </row>
    <row r="118" ht="16.5">
      <c r="A118" s="42" t="s">
        <v>225</v>
      </c>
    </row>
    <row r="119" ht="16.5">
      <c r="A119" s="42" t="s">
        <v>226</v>
      </c>
    </row>
    <row r="120" ht="16.5">
      <c r="A120" s="42" t="s">
        <v>227</v>
      </c>
    </row>
    <row r="121" ht="16.5">
      <c r="A121" s="42" t="s">
        <v>228</v>
      </c>
    </row>
    <row r="122" ht="16.5">
      <c r="A122" s="42" t="s">
        <v>229</v>
      </c>
    </row>
    <row r="124" ht="16.5">
      <c r="A124" s="42" t="s">
        <v>230</v>
      </c>
    </row>
    <row r="125" ht="16.5">
      <c r="A125" s="42" t="s">
        <v>231</v>
      </c>
    </row>
    <row r="126" ht="16.5">
      <c r="A126" s="42" t="s">
        <v>232</v>
      </c>
    </row>
    <row r="127" ht="16.5">
      <c r="A127" s="42" t="s">
        <v>233</v>
      </c>
    </row>
    <row r="128" ht="16.5">
      <c r="A128" s="42" t="s">
        <v>234</v>
      </c>
    </row>
    <row r="129" ht="16.5">
      <c r="A129" s="42" t="s">
        <v>235</v>
      </c>
    </row>
    <row r="130" ht="16.5">
      <c r="A130" s="42" t="s">
        <v>236</v>
      </c>
    </row>
    <row r="131" ht="16.5">
      <c r="A131" s="42" t="s">
        <v>237</v>
      </c>
    </row>
    <row r="133" ht="16.5">
      <c r="A133" s="42" t="s">
        <v>238</v>
      </c>
    </row>
    <row r="134" ht="16.5">
      <c r="A134" s="42" t="s">
        <v>239</v>
      </c>
    </row>
    <row r="135" ht="16.5">
      <c r="A135" s="42" t="s">
        <v>240</v>
      </c>
    </row>
    <row r="136" ht="16.5">
      <c r="A136" s="42" t="s">
        <v>241</v>
      </c>
    </row>
    <row r="137" ht="16.5">
      <c r="A137" s="42" t="s">
        <v>242</v>
      </c>
    </row>
    <row r="138" ht="16.5">
      <c r="A138" s="42" t="s">
        <v>243</v>
      </c>
    </row>
    <row r="140" ht="16.5">
      <c r="A140" s="42" t="s">
        <v>244</v>
      </c>
    </row>
    <row r="141" ht="16.5">
      <c r="A141" s="42" t="s">
        <v>245</v>
      </c>
    </row>
    <row r="142" ht="16.5">
      <c r="A142" s="42" t="s">
        <v>246</v>
      </c>
    </row>
    <row r="143" ht="16.5">
      <c r="A143" s="42" t="s">
        <v>247</v>
      </c>
    </row>
    <row r="144" ht="16.5">
      <c r="A144" s="42" t="s">
        <v>248</v>
      </c>
    </row>
    <row r="145" ht="16.5">
      <c r="A145" s="42" t="s">
        <v>249</v>
      </c>
    </row>
    <row r="146" ht="16.5">
      <c r="A146" s="42" t="s">
        <v>250</v>
      </c>
    </row>
    <row r="147" ht="16.5">
      <c r="A147" s="42" t="s">
        <v>251</v>
      </c>
    </row>
    <row r="149" ht="16.5">
      <c r="A149" s="42" t="s">
        <v>252</v>
      </c>
    </row>
    <row r="150" ht="16.5">
      <c r="A150" s="42" t="s">
        <v>253</v>
      </c>
    </row>
    <row r="151" ht="16.5">
      <c r="A151" s="42" t="s">
        <v>254</v>
      </c>
    </row>
    <row r="153" ht="16.5">
      <c r="A153" s="42" t="s">
        <v>255</v>
      </c>
    </row>
    <row r="154" ht="16.5">
      <c r="A154" s="42" t="s">
        <v>256</v>
      </c>
    </row>
    <row r="155" ht="16.5">
      <c r="A155" s="42" t="s">
        <v>257</v>
      </c>
    </row>
    <row r="156" ht="16.5">
      <c r="A156" s="42" t="s">
        <v>258</v>
      </c>
    </row>
    <row r="157" ht="16.5">
      <c r="A157" s="42" t="s">
        <v>259</v>
      </c>
    </row>
    <row r="158" ht="16.5">
      <c r="A158" s="42" t="s">
        <v>260</v>
      </c>
    </row>
    <row r="159" ht="16.5">
      <c r="A159" s="42" t="s">
        <v>261</v>
      </c>
    </row>
    <row r="160" ht="16.5">
      <c r="A160" s="42" t="s">
        <v>262</v>
      </c>
    </row>
    <row r="161" ht="16.5">
      <c r="A161" s="42" t="s">
        <v>263</v>
      </c>
    </row>
    <row r="162" ht="16.5">
      <c r="A162" s="42" t="s">
        <v>264</v>
      </c>
    </row>
    <row r="164" ht="16.5">
      <c r="A164" s="42" t="s">
        <v>265</v>
      </c>
    </row>
    <row r="165" ht="16.5">
      <c r="A165" s="42" t="s">
        <v>266</v>
      </c>
    </row>
    <row r="166" ht="16.5">
      <c r="A166" s="42" t="s">
        <v>267</v>
      </c>
    </row>
    <row r="167" ht="16.5">
      <c r="A167" s="42" t="s">
        <v>268</v>
      </c>
    </row>
    <row r="168" ht="16.5">
      <c r="A168" s="42" t="s">
        <v>269</v>
      </c>
    </row>
    <row r="169" ht="16.5">
      <c r="B169" s="42" t="s">
        <v>270</v>
      </c>
    </row>
    <row r="170" ht="16.5">
      <c r="B170" s="42" t="s">
        <v>271</v>
      </c>
    </row>
    <row r="171" ht="16.5">
      <c r="B171" s="43" t="s">
        <v>272</v>
      </c>
    </row>
    <row r="172" ht="16.5">
      <c r="A172" s="42" t="s">
        <v>273</v>
      </c>
    </row>
    <row r="173" ht="16.5">
      <c r="A173" s="42" t="s">
        <v>274</v>
      </c>
    </row>
    <row r="175" ht="16.5">
      <c r="A175" s="42" t="s">
        <v>286</v>
      </c>
    </row>
    <row r="176" ht="16.5">
      <c r="A176" s="42" t="s">
        <v>288</v>
      </c>
    </row>
    <row r="177" ht="16.5">
      <c r="A177" s="42" t="s">
        <v>287</v>
      </c>
    </row>
    <row r="178" ht="16.5">
      <c r="A178" s="42" t="s">
        <v>289</v>
      </c>
    </row>
    <row r="179" ht="16.5">
      <c r="A179" s="42" t="s">
        <v>290</v>
      </c>
    </row>
    <row r="180" ht="16.5">
      <c r="A180" s="42" t="s">
        <v>291</v>
      </c>
    </row>
    <row r="181" ht="16.5">
      <c r="B181" s="42" t="s">
        <v>292</v>
      </c>
    </row>
    <row r="182" ht="16.5">
      <c r="B182" s="42" t="s">
        <v>293</v>
      </c>
    </row>
    <row r="184" ht="16.5">
      <c r="A184" s="42" t="s">
        <v>299</v>
      </c>
    </row>
    <row r="185" ht="16.5">
      <c r="A185" s="42" t="s">
        <v>306</v>
      </c>
    </row>
    <row r="186" ht="16.5">
      <c r="A186" s="42" t="s">
        <v>300</v>
      </c>
    </row>
    <row r="187" ht="16.5">
      <c r="A187" s="42" t="s">
        <v>301</v>
      </c>
    </row>
    <row r="188" ht="16.5">
      <c r="A188" s="42" t="s">
        <v>302</v>
      </c>
    </row>
    <row r="189" ht="16.5">
      <c r="B189" s="42" t="s">
        <v>303</v>
      </c>
    </row>
    <row r="190" ht="16.5">
      <c r="B190" s="42" t="s">
        <v>293</v>
      </c>
    </row>
    <row r="191" ht="16.5">
      <c r="A191" s="42" t="s">
        <v>304</v>
      </c>
    </row>
    <row r="192" ht="16.5">
      <c r="A192" s="42" t="s">
        <v>305</v>
      </c>
    </row>
    <row r="193" ht="16.5">
      <c r="A193" s="42" t="s">
        <v>307</v>
      </c>
    </row>
    <row r="195" ht="16.5">
      <c r="A195" s="42" t="s">
        <v>0</v>
      </c>
    </row>
    <row r="196" ht="16.5">
      <c r="A196" s="42" t="s">
        <v>1</v>
      </c>
    </row>
    <row r="197" ht="16.5">
      <c r="A197" s="42" t="s">
        <v>2</v>
      </c>
    </row>
    <row r="198" ht="16.5">
      <c r="A198" s="42" t="s">
        <v>3</v>
      </c>
    </row>
    <row r="199" ht="16.5">
      <c r="A199" s="42" t="s">
        <v>4</v>
      </c>
    </row>
    <row r="200" ht="16.5">
      <c r="A200" s="42" t="s">
        <v>5</v>
      </c>
    </row>
    <row r="201" ht="16.5">
      <c r="B201" s="42" t="s">
        <v>7</v>
      </c>
    </row>
    <row r="202" ht="16.5">
      <c r="B202" s="42" t="s">
        <v>6</v>
      </c>
    </row>
    <row r="203" ht="16.5">
      <c r="A203" s="42" t="s">
        <v>8</v>
      </c>
    </row>
    <row r="205" ht="16.5">
      <c r="A205" s="42" t="s">
        <v>311</v>
      </c>
    </row>
    <row r="206" ht="16.5">
      <c r="A206" s="42" t="s">
        <v>312</v>
      </c>
    </row>
    <row r="207" ht="16.5">
      <c r="A207" s="42" t="s">
        <v>313</v>
      </c>
    </row>
    <row r="208" ht="16.5">
      <c r="A208" s="42" t="s">
        <v>314</v>
      </c>
    </row>
    <row r="209" ht="16.5">
      <c r="B209" s="42" t="s">
        <v>316</v>
      </c>
    </row>
    <row r="210" ht="16.5">
      <c r="B210" s="42" t="s">
        <v>315</v>
      </c>
    </row>
    <row r="212" ht="16.5">
      <c r="A212" s="42" t="s">
        <v>318</v>
      </c>
    </row>
    <row r="213" ht="16.5">
      <c r="A213" s="42" t="s">
        <v>319</v>
      </c>
    </row>
    <row r="214" ht="16.5">
      <c r="A214" s="42" t="s">
        <v>320</v>
      </c>
    </row>
    <row r="215" ht="16.5">
      <c r="A215" s="42" t="s">
        <v>314</v>
      </c>
    </row>
    <row r="216" ht="16.5">
      <c r="B216" s="42" t="s">
        <v>322</v>
      </c>
    </row>
    <row r="217" ht="16.5">
      <c r="B217" s="42" t="s">
        <v>321</v>
      </c>
    </row>
    <row r="219" ht="16.5">
      <c r="A219" s="42" t="s">
        <v>362</v>
      </c>
    </row>
    <row r="220" ht="16.5">
      <c r="A220" s="42" t="s">
        <v>363</v>
      </c>
    </row>
    <row r="221" ht="16.5">
      <c r="A221" s="42" t="s">
        <v>367</v>
      </c>
    </row>
    <row r="222" ht="16.5">
      <c r="A222" s="42" t="s">
        <v>314</v>
      </c>
    </row>
    <row r="223" ht="16.5">
      <c r="B223" s="42" t="s">
        <v>364</v>
      </c>
    </row>
    <row r="224" ht="16.5">
      <c r="B224" s="42" t="s">
        <v>321</v>
      </c>
    </row>
    <row r="225" ht="16.5">
      <c r="A225" s="42" t="s">
        <v>365</v>
      </c>
    </row>
    <row r="226" ht="16.5">
      <c r="A226" s="42" t="s">
        <v>366</v>
      </c>
    </row>
    <row r="228" ht="16.5">
      <c r="A228" s="42" t="s">
        <v>371</v>
      </c>
    </row>
    <row r="229" ht="16.5">
      <c r="A229" s="42" t="s">
        <v>372</v>
      </c>
    </row>
    <row r="230" ht="16.5">
      <c r="A230" s="42" t="s">
        <v>373</v>
      </c>
    </row>
    <row r="231" ht="16.5">
      <c r="A231" s="42" t="s">
        <v>314</v>
      </c>
    </row>
    <row r="232" ht="16.5">
      <c r="B232" s="42" t="s">
        <v>375</v>
      </c>
    </row>
    <row r="233" ht="16.5">
      <c r="B233" s="42" t="s">
        <v>374</v>
      </c>
    </row>
    <row r="234" ht="16.5">
      <c r="A234" s="42" t="s">
        <v>377</v>
      </c>
    </row>
    <row r="235" ht="16.5">
      <c r="A235" s="42" t="s">
        <v>378</v>
      </c>
    </row>
    <row r="236" ht="16.5">
      <c r="A236" s="42" t="s">
        <v>379</v>
      </c>
    </row>
    <row r="237" ht="16.5">
      <c r="A237" s="42" t="s">
        <v>380</v>
      </c>
    </row>
    <row r="238" ht="16.5">
      <c r="A238" s="42" t="s">
        <v>302</v>
      </c>
    </row>
    <row r="239" ht="16.5">
      <c r="B239" s="42" t="s">
        <v>381</v>
      </c>
    </row>
    <row r="240" ht="16.5">
      <c r="B240" s="42" t="s">
        <v>374</v>
      </c>
    </row>
    <row r="242" ht="16.5">
      <c r="A242" s="42" t="s">
        <v>382</v>
      </c>
    </row>
    <row r="243" ht="16.5">
      <c r="A243" s="42" t="s">
        <v>383</v>
      </c>
    </row>
    <row r="244" ht="16.5">
      <c r="A244" s="42" t="s">
        <v>384</v>
      </c>
    </row>
    <row r="245" ht="16.5">
      <c r="A245" s="42" t="s">
        <v>386</v>
      </c>
    </row>
    <row r="246" ht="16.5">
      <c r="A246" s="42" t="s">
        <v>387</v>
      </c>
    </row>
    <row r="248" ht="16.5">
      <c r="A248" s="42" t="s">
        <v>526</v>
      </c>
    </row>
    <row r="249" ht="16.5">
      <c r="A249" s="42" t="s">
        <v>527</v>
      </c>
    </row>
    <row r="250" ht="16.5">
      <c r="A250" s="42" t="s">
        <v>528</v>
      </c>
    </row>
    <row r="251" ht="16.5">
      <c r="A251" s="42" t="s">
        <v>302</v>
      </c>
    </row>
    <row r="252" ht="16.5">
      <c r="B252" s="42" t="s">
        <v>529</v>
      </c>
    </row>
    <row r="253" ht="16.5">
      <c r="B253" s="42" t="s">
        <v>374</v>
      </c>
    </row>
    <row r="255" ht="16.5">
      <c r="A255" s="42" t="s">
        <v>537</v>
      </c>
    </row>
    <row r="256" ht="16.5">
      <c r="A256" s="42" t="s">
        <v>538</v>
      </c>
    </row>
    <row r="257" ht="16.5">
      <c r="A257" s="42" t="s">
        <v>539</v>
      </c>
    </row>
    <row r="258" ht="16.5">
      <c r="A258" s="42" t="s">
        <v>540</v>
      </c>
    </row>
    <row r="259" ht="16.5">
      <c r="A259" s="42" t="s">
        <v>302</v>
      </c>
    </row>
    <row r="260" ht="16.5">
      <c r="B260" s="42" t="s">
        <v>541</v>
      </c>
    </row>
    <row r="261" ht="16.5">
      <c r="B261" s="42" t="s">
        <v>374</v>
      </c>
    </row>
    <row r="263" ht="16.5">
      <c r="A263" s="42" t="s">
        <v>543</v>
      </c>
    </row>
    <row r="264" ht="16.5">
      <c r="A264" s="42" t="s">
        <v>544</v>
      </c>
    </row>
    <row r="265" ht="16.5">
      <c r="A265" s="42" t="s">
        <v>546</v>
      </c>
    </row>
    <row r="266" ht="16.5">
      <c r="B266" s="122" t="s">
        <v>547</v>
      </c>
    </row>
    <row r="267" ht="16.5">
      <c r="A267" s="42" t="s">
        <v>548</v>
      </c>
    </row>
    <row r="268" ht="16.5">
      <c r="A268" s="42" t="s">
        <v>302</v>
      </c>
    </row>
    <row r="269" ht="16.5">
      <c r="B269" s="42" t="s">
        <v>549</v>
      </c>
    </row>
    <row r="270" ht="16.5">
      <c r="B270" s="42" t="s">
        <v>374</v>
      </c>
    </row>
    <row r="272" ht="16.5">
      <c r="A272" s="42" t="s">
        <v>553</v>
      </c>
    </row>
    <row r="273" ht="16.5">
      <c r="A273" s="42" t="s">
        <v>565</v>
      </c>
    </row>
    <row r="274" ht="16.5">
      <c r="A274" s="42" t="s">
        <v>554</v>
      </c>
    </row>
    <row r="275" ht="16.5">
      <c r="A275" s="42" t="s">
        <v>570</v>
      </c>
    </row>
    <row r="276" ht="16.5">
      <c r="A276" s="42" t="s">
        <v>561</v>
      </c>
    </row>
    <row r="277" ht="16.5">
      <c r="A277" s="42" t="s">
        <v>567</v>
      </c>
    </row>
    <row r="278" ht="16.5">
      <c r="A278" s="42" t="s">
        <v>568</v>
      </c>
    </row>
    <row r="279" ht="16.5">
      <c r="B279" s="42" t="s">
        <v>566</v>
      </c>
    </row>
    <row r="280" ht="16.5">
      <c r="B280" s="42" t="s">
        <v>374</v>
      </c>
    </row>
    <row r="282" ht="16.5">
      <c r="A282" s="42" t="s">
        <v>575</v>
      </c>
    </row>
    <row r="283" ht="16.5">
      <c r="A283" s="42" t="s">
        <v>576</v>
      </c>
    </row>
    <row r="284" ht="16.5">
      <c r="A284" s="42" t="s">
        <v>577</v>
      </c>
    </row>
    <row r="285" ht="16.5">
      <c r="A285" s="42" t="s">
        <v>578</v>
      </c>
    </row>
    <row r="286" ht="16.5">
      <c r="A286" s="42" t="s">
        <v>579</v>
      </c>
    </row>
    <row r="287" ht="17.25">
      <c r="A287" s="4" t="s">
        <v>580</v>
      </c>
    </row>
    <row r="288" ht="16.5">
      <c r="B288" s="42" t="s">
        <v>582</v>
      </c>
    </row>
    <row r="289" ht="16.5">
      <c r="B289" s="42" t="s">
        <v>581</v>
      </c>
    </row>
    <row r="291" ht="16.5">
      <c r="A291" s="42" t="s">
        <v>589</v>
      </c>
    </row>
    <row r="292" ht="16.5">
      <c r="A292" s="42" t="s">
        <v>590</v>
      </c>
    </row>
    <row r="293" ht="16.5">
      <c r="A293" s="42" t="s">
        <v>593</v>
      </c>
    </row>
    <row r="294" ht="16.5">
      <c r="A294" s="42" t="s">
        <v>594</v>
      </c>
    </row>
    <row r="295" ht="16.5">
      <c r="A295" s="42" t="s">
        <v>597</v>
      </c>
    </row>
    <row r="296" ht="17.25">
      <c r="A296" s="4" t="s">
        <v>598</v>
      </c>
    </row>
    <row r="297" ht="16.5">
      <c r="B297" s="42" t="s">
        <v>596</v>
      </c>
    </row>
    <row r="298" ht="16.5">
      <c r="B298" s="42" t="s">
        <v>595</v>
      </c>
    </row>
    <row r="300" ht="16.5">
      <c r="A300" s="42" t="s">
        <v>600</v>
      </c>
    </row>
    <row r="301" ht="16.5">
      <c r="A301" s="42" t="s">
        <v>601</v>
      </c>
    </row>
    <row r="302" ht="15">
      <c r="A302" s="42" t="s">
        <v>608</v>
      </c>
    </row>
    <row r="303" ht="15">
      <c r="A303" s="42" t="s">
        <v>609</v>
      </c>
    </row>
    <row r="305" ht="16.5">
      <c r="A305" s="42" t="s">
        <v>611</v>
      </c>
    </row>
    <row r="306" ht="16.5">
      <c r="A306" s="42" t="s">
        <v>612</v>
      </c>
    </row>
    <row r="307" ht="16.5">
      <c r="A307" s="42" t="s">
        <v>613</v>
      </c>
    </row>
    <row r="308" ht="16.5">
      <c r="A308" s="42" t="s">
        <v>614</v>
      </c>
    </row>
    <row r="309" ht="16.5"/>
    <row r="310" ht="16.5">
      <c r="A310" s="42" t="s">
        <v>620</v>
      </c>
    </row>
    <row r="311" ht="16.5">
      <c r="A311" s="42" t="s">
        <v>630</v>
      </c>
    </row>
    <row r="312" ht="16.5">
      <c r="A312" s="42" t="s">
        <v>631</v>
      </c>
    </row>
    <row r="314" ht="16.5">
      <c r="A314" s="122" t="s">
        <v>621</v>
      </c>
    </row>
    <row r="317" ht="15">
      <c r="A317" s="42" t="s">
        <v>141</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
  <sheetViews>
    <sheetView workbookViewId="0" topLeftCell="A1">
      <selection activeCell="H29" sqref="H29"/>
    </sheetView>
  </sheetViews>
  <sheetFormatPr defaultColWidth="9.00390625" defaultRowHeight="16.5"/>
  <cols>
    <col min="1" max="16384" width="9.00390625" style="42" customWidth="1"/>
  </cols>
  <sheetData>
    <row r="1" ht="16.5">
      <c r="A1" s="42" t="s">
        <v>275</v>
      </c>
    </row>
    <row r="3" ht="16.5">
      <c r="A3" s="42" t="s">
        <v>276</v>
      </c>
    </row>
    <row r="5" ht="16.5">
      <c r="A5" s="42" t="s">
        <v>277</v>
      </c>
    </row>
    <row r="7" ht="16.5">
      <c r="A7" s="42" t="s">
        <v>278</v>
      </c>
    </row>
    <row r="8" ht="16.5">
      <c r="A8" s="42" t="s">
        <v>280</v>
      </c>
    </row>
    <row r="10" ht="16.5">
      <c r="A10" s="42" t="s">
        <v>279</v>
      </c>
    </row>
    <row r="12" ht="16.5">
      <c r="A12" s="42" t="s">
        <v>281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X2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F10" sqref="F10"/>
    </sheetView>
  </sheetViews>
  <sheetFormatPr defaultColWidth="9.00390625" defaultRowHeight="16.5"/>
  <cols>
    <col min="1" max="1" width="6.00390625" style="30" customWidth="1"/>
    <col min="2" max="2" width="30.375" style="30" customWidth="1"/>
    <col min="3" max="3" width="9.625" style="30" customWidth="1"/>
    <col min="4" max="4" width="8.25390625" style="30" customWidth="1"/>
    <col min="5" max="5" width="8.00390625" style="30" customWidth="1"/>
    <col min="6" max="6" width="12.75390625" style="30" customWidth="1"/>
    <col min="7" max="7" width="10.125" style="30" bestFit="1" customWidth="1"/>
    <col min="8" max="8" width="13.50390625" style="30" customWidth="1"/>
    <col min="9" max="9" width="10.25390625" style="30" customWidth="1"/>
    <col min="10" max="11" width="10.375" style="30" customWidth="1"/>
    <col min="12" max="12" width="10.25390625" style="30" customWidth="1"/>
    <col min="13" max="13" width="8.00390625" style="30" customWidth="1"/>
    <col min="14" max="14" width="13.875" style="30" customWidth="1"/>
    <col min="15" max="15" width="13.25390625" style="30" customWidth="1"/>
    <col min="16" max="16" width="9.125" style="30" bestFit="1" customWidth="1"/>
    <col min="17" max="17" width="9.00390625" style="30" customWidth="1"/>
    <col min="18" max="18" width="11.50390625" style="30" customWidth="1"/>
    <col min="19" max="19" width="10.125" style="30" customWidth="1"/>
    <col min="20" max="20" width="12.75390625" style="30" customWidth="1"/>
    <col min="21" max="16384" width="9.00390625" style="30" customWidth="1"/>
  </cols>
  <sheetData>
    <row r="1" spans="1:24" s="27" customFormat="1" ht="41.25" customHeight="1">
      <c r="A1" s="27" t="s">
        <v>71</v>
      </c>
      <c r="B1" s="28" t="s">
        <v>78</v>
      </c>
      <c r="C1" s="28" t="s">
        <v>79</v>
      </c>
      <c r="D1" s="28" t="s">
        <v>80</v>
      </c>
      <c r="E1" s="28" t="s">
        <v>81</v>
      </c>
      <c r="F1" s="28" t="s">
        <v>82</v>
      </c>
      <c r="G1" s="28" t="s">
        <v>83</v>
      </c>
      <c r="H1" s="28" t="s">
        <v>84</v>
      </c>
      <c r="I1" s="28" t="s">
        <v>85</v>
      </c>
      <c r="J1" s="28" t="s">
        <v>86</v>
      </c>
      <c r="K1" s="28" t="s">
        <v>87</v>
      </c>
      <c r="L1" s="28" t="s">
        <v>88</v>
      </c>
      <c r="M1" s="28" t="s">
        <v>89</v>
      </c>
      <c r="N1" s="29" t="s">
        <v>90</v>
      </c>
      <c r="O1" s="29" t="s">
        <v>91</v>
      </c>
      <c r="P1" s="29" t="s">
        <v>92</v>
      </c>
      <c r="Q1" s="29" t="s">
        <v>93</v>
      </c>
      <c r="R1" s="29" t="s">
        <v>94</v>
      </c>
      <c r="S1" s="29" t="s">
        <v>95</v>
      </c>
      <c r="T1" s="29" t="s">
        <v>96</v>
      </c>
      <c r="U1" s="29" t="s">
        <v>97</v>
      </c>
      <c r="V1" s="29" t="s">
        <v>98</v>
      </c>
      <c r="X1" s="27" t="s">
        <v>99</v>
      </c>
    </row>
    <row r="2" spans="1:24" s="27" customFormat="1" ht="16.5" customHeight="1">
      <c r="A2" s="53">
        <v>0</v>
      </c>
      <c r="B2" s="28" t="s">
        <v>108</v>
      </c>
      <c r="C2" s="26">
        <v>512</v>
      </c>
      <c r="D2" s="31">
        <v>2700</v>
      </c>
      <c r="E2" s="15">
        <v>1</v>
      </c>
      <c r="F2" s="32">
        <v>10480</v>
      </c>
      <c r="G2" s="33">
        <v>180</v>
      </c>
      <c r="H2" s="32">
        <v>0</v>
      </c>
      <c r="I2" s="34">
        <v>0</v>
      </c>
      <c r="J2" s="35">
        <f aca="true" t="shared" si="0" ref="J2:J11">I2+G2*E2</f>
        <v>180</v>
      </c>
      <c r="K2" s="36">
        <v>1</v>
      </c>
      <c r="L2" s="35">
        <f aca="true" t="shared" si="1" ref="L2:L11">J2/K2</f>
        <v>180</v>
      </c>
      <c r="M2" s="37">
        <f aca="true" t="shared" si="2" ref="M2:M11">D2*E2</f>
        <v>2700</v>
      </c>
      <c r="N2" s="38">
        <v>12980</v>
      </c>
      <c r="O2" s="44">
        <f aca="true" t="shared" si="3" ref="O2:O11">M2*360</f>
        <v>972000</v>
      </c>
      <c r="P2" s="37">
        <f aca="true" t="shared" si="4" ref="P2:P11">L2*0.001*24*360*X2</f>
        <v>5598.72</v>
      </c>
      <c r="Q2" s="15">
        <v>2</v>
      </c>
      <c r="R2" s="39">
        <f aca="true" t="shared" si="5" ref="R2:R11">D2/F2*360</f>
        <v>92.74809160305344</v>
      </c>
      <c r="S2" s="39">
        <f aca="true" t="shared" si="6" ref="S2:S11">D2/G2</f>
        <v>15</v>
      </c>
      <c r="T2" s="39">
        <f aca="true" t="shared" si="7" ref="T2:T11">D2*360/(F2+G2*0.001*24*360*X2)</f>
        <v>60.45257333917127</v>
      </c>
      <c r="U2" s="40">
        <f aca="true" t="shared" si="8" ref="U2:U11">Q2*P2+N2</f>
        <v>24177.440000000002</v>
      </c>
      <c r="V2" s="41">
        <f aca="true" t="shared" si="9" ref="V2:V11">O2*Q2/U2</f>
        <v>80.40553507732828</v>
      </c>
      <c r="X2" s="27">
        <f>D25</f>
        <v>3.6</v>
      </c>
    </row>
    <row r="3" spans="1:24" s="27" customFormat="1" ht="16.5" customHeight="1">
      <c r="A3" s="121">
        <v>1</v>
      </c>
      <c r="B3" s="28" t="s">
        <v>542</v>
      </c>
      <c r="C3" s="26">
        <v>6144</v>
      </c>
      <c r="D3" s="31">
        <v>20000</v>
      </c>
      <c r="E3" s="15">
        <v>1</v>
      </c>
      <c r="F3" s="32">
        <v>9500</v>
      </c>
      <c r="G3" s="33">
        <v>200</v>
      </c>
      <c r="H3" s="32">
        <v>25000</v>
      </c>
      <c r="I3" s="34">
        <v>80</v>
      </c>
      <c r="J3" s="35">
        <f t="shared" si="0"/>
        <v>280</v>
      </c>
      <c r="K3" s="36">
        <v>0.8</v>
      </c>
      <c r="L3" s="35">
        <f t="shared" si="1"/>
        <v>350</v>
      </c>
      <c r="M3" s="37">
        <f t="shared" si="2"/>
        <v>20000</v>
      </c>
      <c r="N3" s="38">
        <f aca="true" t="shared" si="10" ref="N3:N11">H3+F3*E3</f>
        <v>34500</v>
      </c>
      <c r="O3" s="44">
        <f t="shared" si="3"/>
        <v>7200000</v>
      </c>
      <c r="P3" s="37">
        <f t="shared" si="4"/>
        <v>10886.4</v>
      </c>
      <c r="Q3" s="15">
        <v>2</v>
      </c>
      <c r="R3" s="39">
        <f t="shared" si="5"/>
        <v>757.8947368421052</v>
      </c>
      <c r="S3" s="39">
        <f t="shared" si="6"/>
        <v>100</v>
      </c>
      <c r="T3" s="39">
        <f t="shared" si="7"/>
        <v>457.9919596967075</v>
      </c>
      <c r="U3" s="40">
        <f t="shared" si="8"/>
        <v>56272.8</v>
      </c>
      <c r="V3" s="41">
        <f t="shared" si="9"/>
        <v>255.89627670917386</v>
      </c>
      <c r="X3" s="27">
        <f aca="true" t="shared" si="11" ref="X3:X9">X2</f>
        <v>3.6</v>
      </c>
    </row>
    <row r="4" spans="1:24" ht="17.25">
      <c r="A4" s="54">
        <v>2</v>
      </c>
      <c r="B4" s="16" t="s">
        <v>103</v>
      </c>
      <c r="C4" s="26">
        <v>512</v>
      </c>
      <c r="D4" s="31">
        <f>SUMIF(VGAMaster!$B:$B,B4,VGAMaster!$Q:$Q)</f>
        <v>4475.6121432250875</v>
      </c>
      <c r="E4" s="15">
        <v>1</v>
      </c>
      <c r="F4" s="32">
        <v>2990</v>
      </c>
      <c r="G4" s="33">
        <f>IF((SUMIF(VGAMaster!$B:$B,B4,VGAMaster!$U:$U)*0.75+SUMIF(VGAMaster!$B:$B,B4,VGAMaster!$T:$T)*0.25)=0,1/0,SUMIF(VGAMaster!$B:$B,B4,VGAMaster!$U:$U)*0.75+SUMIF(VGAMaster!$B:$B,B4,VGAMaster!$T:$T)*0.25)</f>
        <v>95</v>
      </c>
      <c r="H4" s="32">
        <v>15000</v>
      </c>
      <c r="I4" s="34">
        <v>60</v>
      </c>
      <c r="J4" s="35">
        <f t="shared" si="0"/>
        <v>155</v>
      </c>
      <c r="K4" s="36">
        <v>0.8</v>
      </c>
      <c r="L4" s="35">
        <f t="shared" si="1"/>
        <v>193.75</v>
      </c>
      <c r="M4" s="37">
        <f t="shared" si="2"/>
        <v>4475.6121432250875</v>
      </c>
      <c r="N4" s="38">
        <f t="shared" si="10"/>
        <v>17990</v>
      </c>
      <c r="O4" s="44">
        <f t="shared" si="3"/>
        <v>1611220.3715610316</v>
      </c>
      <c r="P4" s="37">
        <f t="shared" si="4"/>
        <v>6026.400000000001</v>
      </c>
      <c r="Q4" s="15">
        <v>2</v>
      </c>
      <c r="R4" s="39">
        <f t="shared" si="5"/>
        <v>538.8696894852948</v>
      </c>
      <c r="S4" s="39">
        <f t="shared" si="6"/>
        <v>47.11170677079039</v>
      </c>
      <c r="T4" s="39">
        <f t="shared" si="7"/>
        <v>271.02655925115926</v>
      </c>
      <c r="U4" s="40">
        <f t="shared" si="8"/>
        <v>30042.800000000003</v>
      </c>
      <c r="V4" s="41">
        <f t="shared" si="9"/>
        <v>107.261664795627</v>
      </c>
      <c r="X4" s="27">
        <f t="shared" si="11"/>
        <v>3.6</v>
      </c>
    </row>
    <row r="5" spans="1:24" ht="17.25">
      <c r="A5" s="54">
        <v>3</v>
      </c>
      <c r="B5" s="94" t="s">
        <v>308</v>
      </c>
      <c r="C5" s="26">
        <v>512</v>
      </c>
      <c r="D5" s="31">
        <f>SUMIF(VGAMaster!$B:$B,B5,VGAMaster!$Q:$Q)</f>
        <v>4109.248467735606</v>
      </c>
      <c r="E5" s="15">
        <v>1</v>
      </c>
      <c r="F5" s="32">
        <v>3498</v>
      </c>
      <c r="G5" s="33">
        <f>IF((SUMIF(VGAMaster!$B:$B,B5,VGAMaster!$U:$U)*0.75+SUMIF(VGAMaster!$B:$B,B5,VGAMaster!$T:$T)*0.25)=0,1/0,SUMIF(VGAMaster!$B:$B,B5,VGAMaster!$U:$U)*0.75+SUMIF(VGAMaster!$B:$B,B5,VGAMaster!$T:$T)*0.25)</f>
        <v>71.25</v>
      </c>
      <c r="H5" s="32">
        <v>15000</v>
      </c>
      <c r="I5" s="34">
        <v>60</v>
      </c>
      <c r="J5" s="35">
        <f t="shared" si="0"/>
        <v>131.25</v>
      </c>
      <c r="K5" s="36">
        <v>0.8</v>
      </c>
      <c r="L5" s="35">
        <f t="shared" si="1"/>
        <v>164.0625</v>
      </c>
      <c r="M5" s="37">
        <f t="shared" si="2"/>
        <v>4109.248467735606</v>
      </c>
      <c r="N5" s="38">
        <f t="shared" si="10"/>
        <v>18498</v>
      </c>
      <c r="O5" s="44">
        <f t="shared" si="3"/>
        <v>1479329.4483848182</v>
      </c>
      <c r="P5" s="37">
        <f t="shared" si="4"/>
        <v>5103</v>
      </c>
      <c r="Q5" s="15">
        <v>2</v>
      </c>
      <c r="R5" s="39">
        <f t="shared" si="5"/>
        <v>422.90721794877595</v>
      </c>
      <c r="S5" s="39">
        <f t="shared" si="6"/>
        <v>57.67366270506114</v>
      </c>
      <c r="T5" s="39">
        <f t="shared" si="7"/>
        <v>258.88834901102143</v>
      </c>
      <c r="U5" s="40">
        <f t="shared" si="8"/>
        <v>28704</v>
      </c>
      <c r="V5" s="41">
        <f t="shared" si="9"/>
        <v>103.07479434119413</v>
      </c>
      <c r="X5" s="30">
        <f t="shared" si="11"/>
        <v>3.6</v>
      </c>
    </row>
    <row r="6" spans="1:24" ht="17.25">
      <c r="A6" s="54">
        <v>4</v>
      </c>
      <c r="B6" s="14" t="s">
        <v>558</v>
      </c>
      <c r="C6" s="26">
        <v>512</v>
      </c>
      <c r="D6" s="31">
        <f>SUMIF(VGAMaster!$B:$B,B6,VGAMaster!$Q:$Q)</f>
        <v>646.8633955604172</v>
      </c>
      <c r="E6" s="15">
        <v>1</v>
      </c>
      <c r="F6" s="32">
        <v>1490</v>
      </c>
      <c r="G6" s="33">
        <f>IF((SUMIF(VGAMaster!$B:$B,B6,VGAMaster!$U:$U)*0.75+SUMIF(VGAMaster!$B:$B,B6,VGAMaster!$T:$T)*0.25)=0,1/0,SUMIF(VGAMaster!$B:$B,B6,VGAMaster!$U:$U)*0.75+SUMIF(VGAMaster!$B:$B,B6,VGAMaster!$T:$T)*0.25)</f>
        <v>15</v>
      </c>
      <c r="H6" s="32">
        <v>10000</v>
      </c>
      <c r="I6" s="34">
        <v>60</v>
      </c>
      <c r="J6" s="35">
        <f t="shared" si="0"/>
        <v>75</v>
      </c>
      <c r="K6" s="36">
        <v>0.8</v>
      </c>
      <c r="L6" s="35">
        <f t="shared" si="1"/>
        <v>93.75</v>
      </c>
      <c r="M6" s="37">
        <f t="shared" si="2"/>
        <v>646.8633955604172</v>
      </c>
      <c r="N6" s="38">
        <f t="shared" si="10"/>
        <v>11490</v>
      </c>
      <c r="O6" s="44">
        <f t="shared" si="3"/>
        <v>232870.8224017502</v>
      </c>
      <c r="P6" s="37">
        <f t="shared" si="4"/>
        <v>2916</v>
      </c>
      <c r="Q6" s="15">
        <v>2</v>
      </c>
      <c r="R6" s="39">
        <f t="shared" si="5"/>
        <v>156.2891425515102</v>
      </c>
      <c r="S6" s="39">
        <f t="shared" si="6"/>
        <v>43.12422637069448</v>
      </c>
      <c r="T6" s="39">
        <f t="shared" si="7"/>
        <v>119.02053727038792</v>
      </c>
      <c r="U6" s="40">
        <f t="shared" si="8"/>
        <v>17322</v>
      </c>
      <c r="V6" s="41">
        <f t="shared" si="9"/>
        <v>26.88729042855908</v>
      </c>
      <c r="X6" s="30">
        <f t="shared" si="11"/>
        <v>3.6</v>
      </c>
    </row>
    <row r="7" spans="1:24" ht="17.25">
      <c r="A7" s="54">
        <v>5</v>
      </c>
      <c r="B7" s="14" t="s">
        <v>524</v>
      </c>
      <c r="C7" s="26">
        <v>512</v>
      </c>
      <c r="D7" s="31">
        <f>SUMIF(VGAMaster!$B:$B,B7,VGAMaster!$Q:$Q)</f>
        <v>1830.3906998648083</v>
      </c>
      <c r="E7" s="15">
        <v>1</v>
      </c>
      <c r="F7" s="32">
        <v>2290</v>
      </c>
      <c r="G7" s="33">
        <f>IF((SUMIF(VGAMaster!$B:$B,B7,VGAMaster!$U:$U)*0.75+SUMIF(VGAMaster!$B:$B,B7,VGAMaster!$T:$T)*0.25)=0,1/0,SUMIF(VGAMaster!$B:$B,B7,VGAMaster!$U:$U)*0.75+SUMIF(VGAMaster!$B:$B,B7,VGAMaster!$T:$T)*0.25)</f>
        <v>32.5</v>
      </c>
      <c r="H7" s="32">
        <v>10000</v>
      </c>
      <c r="I7" s="34">
        <v>60</v>
      </c>
      <c r="J7" s="35">
        <f t="shared" si="0"/>
        <v>92.5</v>
      </c>
      <c r="K7" s="36">
        <v>0.8</v>
      </c>
      <c r="L7" s="35">
        <f t="shared" si="1"/>
        <v>115.625</v>
      </c>
      <c r="M7" s="37">
        <f t="shared" si="2"/>
        <v>1830.3906998648083</v>
      </c>
      <c r="N7" s="38">
        <f t="shared" si="10"/>
        <v>12290</v>
      </c>
      <c r="O7" s="44">
        <f t="shared" si="3"/>
        <v>658940.651951331</v>
      </c>
      <c r="P7" s="37">
        <f t="shared" si="4"/>
        <v>3596.4000000000005</v>
      </c>
      <c r="Q7" s="15">
        <v>2</v>
      </c>
      <c r="R7" s="39">
        <f t="shared" si="5"/>
        <v>287.747009585734</v>
      </c>
      <c r="S7" s="39">
        <f t="shared" si="6"/>
        <v>56.3197138419941</v>
      </c>
      <c r="T7" s="39">
        <f t="shared" si="7"/>
        <v>199.62575190595567</v>
      </c>
      <c r="U7" s="40">
        <f t="shared" si="8"/>
        <v>19482.800000000003</v>
      </c>
      <c r="V7" s="41">
        <f t="shared" si="9"/>
        <v>67.64332148883435</v>
      </c>
      <c r="X7" s="30">
        <f t="shared" si="11"/>
        <v>3.6</v>
      </c>
    </row>
    <row r="8" spans="1:24" ht="17.25">
      <c r="A8" s="54">
        <v>6</v>
      </c>
      <c r="B8" s="14" t="s">
        <v>525</v>
      </c>
      <c r="C8" s="26">
        <v>512</v>
      </c>
      <c r="D8" s="31">
        <f>SUMIF(VGAMaster!$B:$B,B8,VGAMaster!$Q:$Q)</f>
        <v>2925.1144213755842</v>
      </c>
      <c r="E8" s="15">
        <v>1</v>
      </c>
      <c r="F8" s="32">
        <v>2490</v>
      </c>
      <c r="G8" s="33">
        <f>IF((SUMIF(VGAMaster!$B:$B,B8,VGAMaster!$U:$U)*0.75+SUMIF(VGAMaster!$B:$B,B8,VGAMaster!$T:$T)*0.25)=0,1/0,SUMIF(VGAMaster!$B:$B,B8,VGAMaster!$U:$U)*0.75+SUMIF(VGAMaster!$B:$B,B8,VGAMaster!$T:$T)*0.25)</f>
        <v>48</v>
      </c>
      <c r="H8" s="32">
        <v>10000</v>
      </c>
      <c r="I8" s="34">
        <v>60</v>
      </c>
      <c r="J8" s="35">
        <f t="shared" si="0"/>
        <v>108</v>
      </c>
      <c r="K8" s="36">
        <v>0.8</v>
      </c>
      <c r="L8" s="35">
        <f t="shared" si="1"/>
        <v>135</v>
      </c>
      <c r="M8" s="37">
        <f t="shared" si="2"/>
        <v>2925.1144213755842</v>
      </c>
      <c r="N8" s="38">
        <f t="shared" si="10"/>
        <v>12490</v>
      </c>
      <c r="O8" s="44">
        <f t="shared" si="3"/>
        <v>1053041.1916952103</v>
      </c>
      <c r="P8" s="37">
        <f t="shared" si="4"/>
        <v>4199.040000000001</v>
      </c>
      <c r="Q8" s="15">
        <v>2</v>
      </c>
      <c r="R8" s="39">
        <f t="shared" si="5"/>
        <v>422.90810911454236</v>
      </c>
      <c r="S8" s="39">
        <f t="shared" si="6"/>
        <v>60.93988377865801</v>
      </c>
      <c r="T8" s="39">
        <f t="shared" si="7"/>
        <v>264.38446065048845</v>
      </c>
      <c r="U8" s="40">
        <f t="shared" si="8"/>
        <v>20888.08</v>
      </c>
      <c r="V8" s="41">
        <f t="shared" si="9"/>
        <v>100.82699718645372</v>
      </c>
      <c r="X8" s="30">
        <f t="shared" si="11"/>
        <v>3.6</v>
      </c>
    </row>
    <row r="9" spans="1:24" ht="17.25">
      <c r="A9" s="54">
        <v>7</v>
      </c>
      <c r="B9" s="16" t="s">
        <v>298</v>
      </c>
      <c r="C9" s="26">
        <v>1024</v>
      </c>
      <c r="D9" s="31">
        <f>SUMIF(VGAMaster!$B:$B,B9,VGAMaster!$Q:$Q)</f>
        <v>6055.780030975198</v>
      </c>
      <c r="E9" s="15">
        <v>1</v>
      </c>
      <c r="F9" s="32">
        <v>3490</v>
      </c>
      <c r="G9" s="33">
        <f>IF((SUMIF(VGAMaster!$B:$B,B9,VGAMaster!$U:$U)*0.75+SUMIF(VGAMaster!$B:$B,B9,VGAMaster!$T:$T)*0.25)=0,1/0,SUMIF(VGAMaster!$B:$B,B9,VGAMaster!$U:$U)*0.75+SUMIF(VGAMaster!$B:$B,B9,VGAMaster!$T:$T)*0.25)</f>
        <v>120</v>
      </c>
      <c r="H9" s="32">
        <v>15000</v>
      </c>
      <c r="I9" s="34">
        <v>60</v>
      </c>
      <c r="J9" s="35">
        <f t="shared" si="0"/>
        <v>180</v>
      </c>
      <c r="K9" s="36">
        <v>0.8</v>
      </c>
      <c r="L9" s="35">
        <f t="shared" si="1"/>
        <v>225</v>
      </c>
      <c r="M9" s="37">
        <f t="shared" si="2"/>
        <v>6055.780030975198</v>
      </c>
      <c r="N9" s="38">
        <f t="shared" si="10"/>
        <v>18490</v>
      </c>
      <c r="O9" s="44">
        <f t="shared" si="3"/>
        <v>2180080.8111510715</v>
      </c>
      <c r="P9" s="37">
        <f t="shared" si="4"/>
        <v>6998.400000000001</v>
      </c>
      <c r="Q9" s="15">
        <v>2</v>
      </c>
      <c r="R9" s="39">
        <f t="shared" si="5"/>
        <v>624.6649888685018</v>
      </c>
      <c r="S9" s="39">
        <f t="shared" si="6"/>
        <v>50.464833591459985</v>
      </c>
      <c r="T9" s="39">
        <f t="shared" si="7"/>
        <v>301.84656948182226</v>
      </c>
      <c r="U9" s="40">
        <f t="shared" si="8"/>
        <v>32486.800000000003</v>
      </c>
      <c r="V9" s="41">
        <f t="shared" si="9"/>
        <v>134.2133304081086</v>
      </c>
      <c r="X9" s="30">
        <f t="shared" si="11"/>
        <v>3.6</v>
      </c>
    </row>
    <row r="10" spans="1:24" ht="17.25">
      <c r="A10" s="54">
        <v>8</v>
      </c>
      <c r="B10" s="16" t="s">
        <v>618</v>
      </c>
      <c r="C10" s="26">
        <v>1280</v>
      </c>
      <c r="D10" s="31">
        <f>SUMIF(VGAMaster!$B:$B,B10,VGAMaster!$R:$R)</f>
        <v>8699.297180263906</v>
      </c>
      <c r="E10" s="15">
        <v>1</v>
      </c>
      <c r="F10" s="32">
        <v>5999</v>
      </c>
      <c r="G10" s="33">
        <f>IF((SUMIF(VGAMaster!$B:$B,B10,VGAMaster!$U:$U)*0.7+SUMIF(VGAMaster!$B:$B,B10,VGAMaster!$T:$T)*0.3)=0,1/0,SUMIF(VGAMaster!$B:$B,B10,VGAMaster!$U:$U)*0.7+SUMIF(VGAMaster!$B:$B,B10,VGAMaster!$T:$T)*0.3)</f>
        <v>106</v>
      </c>
      <c r="H10" s="32">
        <v>20000</v>
      </c>
      <c r="I10" s="34">
        <v>60</v>
      </c>
      <c r="J10" s="35">
        <f t="shared" si="0"/>
        <v>166</v>
      </c>
      <c r="K10" s="36">
        <v>0.8</v>
      </c>
      <c r="L10" s="35">
        <f t="shared" si="1"/>
        <v>207.5</v>
      </c>
      <c r="M10" s="37">
        <f t="shared" si="2"/>
        <v>8699.297180263906</v>
      </c>
      <c r="N10" s="38">
        <f t="shared" si="10"/>
        <v>25999</v>
      </c>
      <c r="O10" s="44">
        <f t="shared" si="3"/>
        <v>3131746.9848950063</v>
      </c>
      <c r="P10" s="37">
        <f t="shared" si="4"/>
        <v>6454.080000000001</v>
      </c>
      <c r="Q10" s="15">
        <v>2</v>
      </c>
      <c r="R10" s="39">
        <f t="shared" si="5"/>
        <v>522.0448382888825</v>
      </c>
      <c r="S10" s="39">
        <f t="shared" si="6"/>
        <v>82.0688413232444</v>
      </c>
      <c r="T10" s="39">
        <f t="shared" si="7"/>
        <v>336.8910175893485</v>
      </c>
      <c r="U10" s="40">
        <f t="shared" si="8"/>
        <v>38907.16</v>
      </c>
      <c r="V10" s="41">
        <f t="shared" si="9"/>
        <v>160.9856378566313</v>
      </c>
      <c r="X10" s="30">
        <f>X7</f>
        <v>3.6</v>
      </c>
    </row>
    <row r="11" spans="1:24" ht="17.25">
      <c r="A11" s="54">
        <v>8</v>
      </c>
      <c r="B11" s="16" t="s">
        <v>617</v>
      </c>
      <c r="C11" s="26">
        <v>1280</v>
      </c>
      <c r="D11" s="31">
        <f>SUMIF(VGAMaster!$B:$B,B11,VGAMaster!$R:$R)</f>
        <v>8895.327720768108</v>
      </c>
      <c r="E11" s="15">
        <v>1</v>
      </c>
      <c r="F11" s="32">
        <v>7290</v>
      </c>
      <c r="G11" s="33">
        <f>IF((SUMIF(VGAMaster!$B:$B,B11,VGAMaster!$U:$U)*0.7+SUMIF(VGAMaster!$B:$B,B11,VGAMaster!$T:$T)*0.3)=0,1/0,SUMIF(VGAMaster!$B:$B,B11,VGAMaster!$U:$U)*0.7+SUMIF(VGAMaster!$B:$B,B11,VGAMaster!$T:$T)*0.3)</f>
        <v>116.5</v>
      </c>
      <c r="H11" s="32">
        <v>20000</v>
      </c>
      <c r="I11" s="34">
        <v>60</v>
      </c>
      <c r="J11" s="35">
        <f t="shared" si="0"/>
        <v>176.5</v>
      </c>
      <c r="K11" s="36">
        <v>0.8</v>
      </c>
      <c r="L11" s="35">
        <f t="shared" si="1"/>
        <v>220.625</v>
      </c>
      <c r="M11" s="37">
        <f t="shared" si="2"/>
        <v>8895.327720768108</v>
      </c>
      <c r="N11" s="38">
        <f t="shared" si="10"/>
        <v>27290</v>
      </c>
      <c r="O11" s="44">
        <f t="shared" si="3"/>
        <v>3202317.979476519</v>
      </c>
      <c r="P11" s="37">
        <f t="shared" si="4"/>
        <v>6862.320000000001</v>
      </c>
      <c r="Q11" s="15">
        <v>2</v>
      </c>
      <c r="R11" s="39">
        <f t="shared" si="5"/>
        <v>439.2754430008942</v>
      </c>
      <c r="S11" s="39">
        <f t="shared" si="6"/>
        <v>76.3547443842756</v>
      </c>
      <c r="T11" s="39">
        <f t="shared" si="7"/>
        <v>293.424102467644</v>
      </c>
      <c r="U11" s="40">
        <f t="shared" si="8"/>
        <v>41014.64</v>
      </c>
      <c r="V11" s="41">
        <f t="shared" si="9"/>
        <v>156.15487442905845</v>
      </c>
      <c r="X11" s="30">
        <f>X7</f>
        <v>3.6</v>
      </c>
    </row>
    <row r="12" spans="1:24" ht="17.25">
      <c r="A12" s="54">
        <v>8</v>
      </c>
      <c r="B12" s="16" t="s">
        <v>605</v>
      </c>
      <c r="C12" s="26">
        <v>1280</v>
      </c>
      <c r="D12" s="31">
        <f>SUMIF(VGAMaster!$B:$B,B12,VGAMaster!$R:$R)</f>
        <v>8385.171031085649</v>
      </c>
      <c r="E12" s="15">
        <v>1</v>
      </c>
      <c r="F12" s="32">
        <v>7990</v>
      </c>
      <c r="G12" s="33">
        <f>IF((SUMIF(VGAMaster!$B:$B,B12,VGAMaster!$U:$U)*0.7+SUMIF(VGAMaster!$B:$B,B12,VGAMaster!$T:$T)*0.3)=0,1/0,SUMIF(VGAMaster!$B:$B,B12,VGAMaster!$U:$U)*0.7+SUMIF(VGAMaster!$B:$B,B12,VGAMaster!$T:$T)*0.3)</f>
        <v>167.5</v>
      </c>
      <c r="H12" s="32">
        <v>20000</v>
      </c>
      <c r="I12" s="34">
        <v>60</v>
      </c>
      <c r="J12" s="35">
        <f aca="true" t="shared" si="12" ref="J12:J17">I12+G12*E12</f>
        <v>227.5</v>
      </c>
      <c r="K12" s="36">
        <v>0.8</v>
      </c>
      <c r="L12" s="35">
        <f aca="true" t="shared" si="13" ref="L12:L17">J12/K12</f>
        <v>284.375</v>
      </c>
      <c r="M12" s="37">
        <f aca="true" t="shared" si="14" ref="M12:M17">D12*E12</f>
        <v>8385.171031085649</v>
      </c>
      <c r="N12" s="38">
        <f aca="true" t="shared" si="15" ref="N12:N17">H12+F12*E12</f>
        <v>27990</v>
      </c>
      <c r="O12" s="44">
        <f aca="true" t="shared" si="16" ref="O12:O17">M12*360</f>
        <v>3018661.5711908336</v>
      </c>
      <c r="P12" s="37">
        <f aca="true" t="shared" si="17" ref="P12:P17">L12*0.001*24*360*X12</f>
        <v>8845.199999999999</v>
      </c>
      <c r="Q12" s="15">
        <v>2</v>
      </c>
      <c r="R12" s="39">
        <f aca="true" t="shared" si="18" ref="R12:R17">D12/F12*360</f>
        <v>377.8049525895912</v>
      </c>
      <c r="S12" s="39">
        <f aca="true" t="shared" si="19" ref="S12:S17">D12/G12</f>
        <v>50.06072257364566</v>
      </c>
      <c r="T12" s="39">
        <f aca="true" t="shared" si="20" ref="T12:T17">D12*360/(F12+G12*0.001*24*360*X12)</f>
        <v>228.68786865305495</v>
      </c>
      <c r="U12" s="40">
        <f aca="true" t="shared" si="21" ref="U12:U17">Q12*P12+N12</f>
        <v>45680.399999999994</v>
      </c>
      <c r="V12" s="41">
        <f aca="true" t="shared" si="22" ref="V12:V17">O12*Q12/U12</f>
        <v>132.16441060896287</v>
      </c>
      <c r="X12" s="30">
        <f>X8</f>
        <v>3.6</v>
      </c>
    </row>
    <row r="13" spans="1:24" ht="17.25">
      <c r="A13" s="54">
        <v>9</v>
      </c>
      <c r="B13" s="16" t="s">
        <v>571</v>
      </c>
      <c r="C13" s="26">
        <v>1280</v>
      </c>
      <c r="D13" s="31">
        <f>SUMIF(VGAMaster!$B:$B,B13,VGAMaster!$R:$R)</f>
        <v>10958.640201777762</v>
      </c>
      <c r="E13" s="15">
        <v>1</v>
      </c>
      <c r="F13" s="32">
        <v>12900</v>
      </c>
      <c r="G13" s="33">
        <f>IF((SUMIF(VGAMaster!$B:$B,B13,VGAMaster!$U:$U)*0.7+SUMIF(VGAMaster!$B:$B,B13,VGAMaster!$T:$T)*0.3)=0,1/0,SUMIF(VGAMaster!$B:$B,B13,VGAMaster!$U:$U)*0.7+SUMIF(VGAMaster!$B:$B,B13,VGAMaster!$T:$T)*0.3)</f>
        <v>178</v>
      </c>
      <c r="H13" s="32">
        <v>20000</v>
      </c>
      <c r="I13" s="34">
        <v>60</v>
      </c>
      <c r="J13" s="35">
        <f t="shared" si="12"/>
        <v>238</v>
      </c>
      <c r="K13" s="36">
        <v>0.8</v>
      </c>
      <c r="L13" s="35">
        <f t="shared" si="13"/>
        <v>297.5</v>
      </c>
      <c r="M13" s="37">
        <f t="shared" si="14"/>
        <v>10958.640201777762</v>
      </c>
      <c r="N13" s="38">
        <f t="shared" si="15"/>
        <v>32900</v>
      </c>
      <c r="O13" s="44">
        <f t="shared" si="16"/>
        <v>3945110.472639994</v>
      </c>
      <c r="P13" s="37">
        <f t="shared" si="17"/>
        <v>9253.44</v>
      </c>
      <c r="Q13" s="15">
        <v>2</v>
      </c>
      <c r="R13" s="39">
        <f t="shared" si="18"/>
        <v>305.8225172589143</v>
      </c>
      <c r="S13" s="39">
        <f t="shared" si="19"/>
        <v>61.5653943920099</v>
      </c>
      <c r="T13" s="39">
        <f t="shared" si="20"/>
        <v>213.9835600486683</v>
      </c>
      <c r="U13" s="40">
        <f t="shared" si="21"/>
        <v>51406.880000000005</v>
      </c>
      <c r="V13" s="41">
        <f t="shared" si="22"/>
        <v>153.48569968222128</v>
      </c>
      <c r="X13" s="30">
        <f>X9</f>
        <v>3.6</v>
      </c>
    </row>
    <row r="14" spans="1:24" ht="17.25">
      <c r="A14" s="54">
        <v>10</v>
      </c>
      <c r="B14" s="16" t="s">
        <v>572</v>
      </c>
      <c r="C14" s="26">
        <v>1536</v>
      </c>
      <c r="D14" s="31">
        <f>SUMIF(VGAMaster!$B:$B,B14,VGAMaster!$R:$R)</f>
        <v>13960.784115257626</v>
      </c>
      <c r="E14" s="15">
        <v>1</v>
      </c>
      <c r="F14" s="32">
        <v>18500</v>
      </c>
      <c r="G14" s="33">
        <f>IF((SUMIF(VGAMaster!$B:$B,B14,VGAMaster!$U:$U)*0.7+SUMIF(VGAMaster!$B:$B,B14,VGAMaster!$T:$T)*0.3)=0,1/0,SUMIF(VGAMaster!$B:$B,B14,VGAMaster!$U:$U)*0.7+SUMIF(VGAMaster!$B:$B,B14,VGAMaster!$T:$T)*0.3)</f>
        <v>239</v>
      </c>
      <c r="H14" s="32">
        <v>20000</v>
      </c>
      <c r="I14" s="34">
        <v>60</v>
      </c>
      <c r="J14" s="35">
        <f t="shared" si="12"/>
        <v>299</v>
      </c>
      <c r="K14" s="36">
        <v>0.8</v>
      </c>
      <c r="L14" s="35">
        <f t="shared" si="13"/>
        <v>373.75</v>
      </c>
      <c r="M14" s="37">
        <f t="shared" si="14"/>
        <v>13960.784115257626</v>
      </c>
      <c r="N14" s="38">
        <f t="shared" si="15"/>
        <v>38500</v>
      </c>
      <c r="O14" s="44">
        <f t="shared" si="16"/>
        <v>5025882.2814927455</v>
      </c>
      <c r="P14" s="37">
        <f t="shared" si="17"/>
        <v>11625.12</v>
      </c>
      <c r="Q14" s="15">
        <v>2</v>
      </c>
      <c r="R14" s="39">
        <f t="shared" si="18"/>
        <v>271.6693125131214</v>
      </c>
      <c r="S14" s="39">
        <f t="shared" si="19"/>
        <v>58.413322657981695</v>
      </c>
      <c r="T14" s="39">
        <f t="shared" si="20"/>
        <v>193.79618216021348</v>
      </c>
      <c r="U14" s="40">
        <f t="shared" si="21"/>
        <v>61750.240000000005</v>
      </c>
      <c r="V14" s="41">
        <f t="shared" si="22"/>
        <v>162.78097968502615</v>
      </c>
      <c r="X14" s="30">
        <f>X13</f>
        <v>3.6</v>
      </c>
    </row>
    <row r="15" spans="1:24" ht="17.25">
      <c r="A15" s="52">
        <v>11</v>
      </c>
      <c r="B15" s="16" t="s">
        <v>583</v>
      </c>
      <c r="C15" s="26">
        <v>1024</v>
      </c>
      <c r="D15" s="31">
        <f>SUMIF(VGAMaster!$B:$B,B15,VGAMaster!$Q:$Q)</f>
        <v>462.7064403230642</v>
      </c>
      <c r="E15" s="15">
        <v>1</v>
      </c>
      <c r="F15" s="32">
        <v>1900</v>
      </c>
      <c r="G15" s="33">
        <f>IF((SUMIF(VGAMaster!$B:$B,B15,VGAMaster!$U:$U)*0.65+SUMIF(VGAMaster!$B:$B,B15,VGAMaster!$T:$T)*0.35)=0,1/0,SUMIF(VGAMaster!$B:$B,B15,VGAMaster!$U:$U)*0.65+SUMIF(VGAMaster!$B:$B,B15,VGAMaster!$T:$T)*0.35)</f>
        <v>20.65</v>
      </c>
      <c r="H15" s="32">
        <v>10000</v>
      </c>
      <c r="I15" s="34">
        <v>60</v>
      </c>
      <c r="J15" s="35">
        <f t="shared" si="12"/>
        <v>80.65</v>
      </c>
      <c r="K15" s="36">
        <v>0.8</v>
      </c>
      <c r="L15" s="35">
        <f t="shared" si="13"/>
        <v>100.8125</v>
      </c>
      <c r="M15" s="37">
        <f t="shared" si="14"/>
        <v>462.7064403230642</v>
      </c>
      <c r="N15" s="38">
        <f t="shared" si="15"/>
        <v>11900</v>
      </c>
      <c r="O15" s="44">
        <f t="shared" si="16"/>
        <v>166574.31851630312</v>
      </c>
      <c r="P15" s="37">
        <f t="shared" si="17"/>
        <v>3135.6720000000005</v>
      </c>
      <c r="Q15" s="15">
        <v>2</v>
      </c>
      <c r="R15" s="39">
        <f t="shared" si="18"/>
        <v>87.670693955949</v>
      </c>
      <c r="S15" s="39">
        <f t="shared" si="19"/>
        <v>22.407091541068485</v>
      </c>
      <c r="T15" s="39">
        <f t="shared" si="20"/>
        <v>65.52117207533183</v>
      </c>
      <c r="U15" s="40">
        <f t="shared" si="21"/>
        <v>18171.344</v>
      </c>
      <c r="V15" s="41">
        <f t="shared" si="22"/>
        <v>18.33373673585213</v>
      </c>
      <c r="X15" s="30">
        <f>X13</f>
        <v>3.6</v>
      </c>
    </row>
    <row r="16" spans="1:24" ht="17.25">
      <c r="A16" s="52">
        <v>12</v>
      </c>
      <c r="B16" s="16" t="s">
        <v>552</v>
      </c>
      <c r="C16" s="26">
        <v>1024</v>
      </c>
      <c r="D16" s="31">
        <f>SUMIF(VGAMaster!$B:$B,B16,VGAMaster!$Q:$Q)</f>
        <v>1204.7572697229357</v>
      </c>
      <c r="E16" s="15">
        <v>1</v>
      </c>
      <c r="F16" s="32">
        <v>2890</v>
      </c>
      <c r="G16" s="33">
        <f>IF((SUMIF(VGAMaster!$B:$B,B16,VGAMaster!$U:$U)*0.65+SUMIF(VGAMaster!$B:$B,B16,VGAMaster!$T:$T)*0.35)=0,1/0,SUMIF(VGAMaster!$B:$B,B16,VGAMaster!$U:$U)*0.65+SUMIF(VGAMaster!$B:$B,B16,VGAMaster!$T:$T)*0.35)</f>
        <v>32.4</v>
      </c>
      <c r="H16" s="32">
        <v>10000</v>
      </c>
      <c r="I16" s="34">
        <v>60</v>
      </c>
      <c r="J16" s="35">
        <f t="shared" si="12"/>
        <v>92.4</v>
      </c>
      <c r="K16" s="36">
        <v>0.8</v>
      </c>
      <c r="L16" s="35">
        <f t="shared" si="13"/>
        <v>115.5</v>
      </c>
      <c r="M16" s="37">
        <f t="shared" si="14"/>
        <v>1204.7572697229357</v>
      </c>
      <c r="N16" s="38">
        <f t="shared" si="15"/>
        <v>12890</v>
      </c>
      <c r="O16" s="44">
        <f t="shared" si="16"/>
        <v>433712.61710025684</v>
      </c>
      <c r="P16" s="37">
        <f t="shared" si="17"/>
        <v>3592.512</v>
      </c>
      <c r="Q16" s="15">
        <v>2</v>
      </c>
      <c r="R16" s="39">
        <f t="shared" si="18"/>
        <v>150.07356993088473</v>
      </c>
      <c r="S16" s="39">
        <f t="shared" si="19"/>
        <v>37.18386634947333</v>
      </c>
      <c r="T16" s="39">
        <f t="shared" si="20"/>
        <v>111.27199953025875</v>
      </c>
      <c r="U16" s="40">
        <f t="shared" si="21"/>
        <v>20075.024</v>
      </c>
      <c r="V16" s="41">
        <f t="shared" si="22"/>
        <v>43.20917545107361</v>
      </c>
      <c r="X16" s="30">
        <f>X14</f>
        <v>3.6</v>
      </c>
    </row>
    <row r="17" spans="1:24" ht="17.25">
      <c r="A17" s="52">
        <v>13</v>
      </c>
      <c r="B17" s="16" t="s">
        <v>530</v>
      </c>
      <c r="C17" s="26">
        <v>1024</v>
      </c>
      <c r="D17" s="31">
        <f>SUMIF(VGAMaster!$B:$B,B17,VGAMaster!$Q:$Q)</f>
        <v>1402.2177974930498</v>
      </c>
      <c r="E17" s="15">
        <v>1</v>
      </c>
      <c r="F17" s="32">
        <v>3790</v>
      </c>
      <c r="G17" s="33">
        <f>IF((SUMIF(VGAMaster!$B:$B,B17,VGAMaster!$U:$U)*0.65+SUMIF(VGAMaster!$B:$B,B17,VGAMaster!$T:$T)*0.35)=0,1/0,SUMIF(VGAMaster!$B:$B,B17,VGAMaster!$U:$U)*0.65+SUMIF(VGAMaster!$B:$B,B17,VGAMaster!$T:$T)*0.35)</f>
        <v>43.2</v>
      </c>
      <c r="H17" s="32">
        <v>10000</v>
      </c>
      <c r="I17" s="34">
        <v>60</v>
      </c>
      <c r="J17" s="35">
        <f t="shared" si="12"/>
        <v>103.2</v>
      </c>
      <c r="K17" s="36">
        <v>0.8</v>
      </c>
      <c r="L17" s="35">
        <f t="shared" si="13"/>
        <v>129</v>
      </c>
      <c r="M17" s="37">
        <f t="shared" si="14"/>
        <v>1402.2177974930498</v>
      </c>
      <c r="N17" s="38">
        <f t="shared" si="15"/>
        <v>13790</v>
      </c>
      <c r="O17" s="44">
        <f t="shared" si="16"/>
        <v>504798.40709749795</v>
      </c>
      <c r="P17" s="37">
        <f t="shared" si="17"/>
        <v>4012.4159999999997</v>
      </c>
      <c r="Q17" s="15">
        <v>2</v>
      </c>
      <c r="R17" s="39">
        <f t="shared" si="18"/>
        <v>133.19219184630552</v>
      </c>
      <c r="S17" s="39">
        <f t="shared" si="19"/>
        <v>32.45874531233911</v>
      </c>
      <c r="T17" s="39">
        <f t="shared" si="20"/>
        <v>98.33046634529786</v>
      </c>
      <c r="U17" s="40">
        <f t="shared" si="21"/>
        <v>21814.832</v>
      </c>
      <c r="V17" s="41">
        <f t="shared" si="22"/>
        <v>46.28029288490491</v>
      </c>
      <c r="X17" s="30">
        <f>X15</f>
        <v>3.6</v>
      </c>
    </row>
    <row r="18" spans="1:24" ht="17.25">
      <c r="A18" s="52">
        <v>14</v>
      </c>
      <c r="B18" s="16" t="s">
        <v>532</v>
      </c>
      <c r="C18" s="26">
        <v>1024</v>
      </c>
      <c r="D18" s="31">
        <f>SUMIF(VGAMaster!$B:$B,B18,VGAMaster!$Q:$Q)</f>
        <v>2212.256210239609</v>
      </c>
      <c r="E18" s="15">
        <v>1</v>
      </c>
      <c r="F18" s="32">
        <v>4390</v>
      </c>
      <c r="G18" s="33">
        <f>IF((SUMIF(VGAMaster!$B:$B,B18,VGAMaster!$U:$U)*0.65+SUMIF(VGAMaster!$B:$B,B18,VGAMaster!$T:$T)*0.35)=0,1/0,SUMIF(VGAMaster!$B:$B,B18,VGAMaster!$U:$U)*0.65+SUMIF(VGAMaster!$B:$B,B18,VGAMaster!$T:$T)*0.35)</f>
        <v>57.6</v>
      </c>
      <c r="H18" s="32">
        <v>15000</v>
      </c>
      <c r="I18" s="34">
        <v>60</v>
      </c>
      <c r="J18" s="35">
        <f aca="true" t="shared" si="23" ref="J18:J24">I18+G18*E18</f>
        <v>117.6</v>
      </c>
      <c r="K18" s="36">
        <v>0.8</v>
      </c>
      <c r="L18" s="35">
        <f aca="true" t="shared" si="24" ref="L18:L24">J18/K18</f>
        <v>146.99999999999997</v>
      </c>
      <c r="M18" s="37">
        <f aca="true" t="shared" si="25" ref="M18:M24">D18*E18</f>
        <v>2212.256210239609</v>
      </c>
      <c r="N18" s="38">
        <f aca="true" t="shared" si="26" ref="N18:N24">H18+F18*E18</f>
        <v>19390</v>
      </c>
      <c r="O18" s="44">
        <f aca="true" t="shared" si="27" ref="O18:O24">M18*360</f>
        <v>796412.2356862592</v>
      </c>
      <c r="P18" s="37">
        <f aca="true" t="shared" si="28" ref="P18:P24">L18*0.001*24*360*X18</f>
        <v>4572.287999999999</v>
      </c>
      <c r="Q18" s="15">
        <v>2</v>
      </c>
      <c r="R18" s="39">
        <f aca="true" t="shared" si="29" ref="R18:R24">D18/F18*360</f>
        <v>181.4150878556399</v>
      </c>
      <c r="S18" s="39">
        <f aca="true" t="shared" si="30" ref="S18:S24">D18/G18</f>
        <v>38.407225872215434</v>
      </c>
      <c r="T18" s="39">
        <f aca="true" t="shared" si="31" ref="T18:T24">D18*360/(F18+G18*0.001*24*360*X18)</f>
        <v>128.8361382996614</v>
      </c>
      <c r="U18" s="40">
        <f aca="true" t="shared" si="32" ref="U18:U24">Q18*P18+N18</f>
        <v>28534.575999999997</v>
      </c>
      <c r="V18" s="41">
        <f aca="true" t="shared" si="33" ref="V18:V24">O18*Q18/U18</f>
        <v>55.82085647154941</v>
      </c>
      <c r="X18" s="30">
        <f>X14</f>
        <v>3.6</v>
      </c>
    </row>
    <row r="19" spans="1:24" ht="17.25">
      <c r="A19" s="52">
        <v>15</v>
      </c>
      <c r="B19" s="16" t="s">
        <v>533</v>
      </c>
      <c r="C19" s="26">
        <v>1024</v>
      </c>
      <c r="D19" s="31">
        <f>SUMIF(VGAMaster!$B:$B,B19,VGAMaster!$Q:$Q)</f>
        <v>2688.6932855379105</v>
      </c>
      <c r="E19" s="15">
        <v>1</v>
      </c>
      <c r="F19" s="32">
        <v>5590</v>
      </c>
      <c r="G19" s="33">
        <f>IF((SUMIF(VGAMaster!$B:$B,B19,VGAMaster!$U:$U)*0.65+SUMIF(VGAMaster!$B:$B,B19,VGAMaster!$T:$T)*0.35)=0,1/0,SUMIF(VGAMaster!$B:$B,B19,VGAMaster!$U:$U)*0.65+SUMIF(VGAMaster!$B:$B,B19,VGAMaster!$T:$T)*0.35)</f>
        <v>71.3</v>
      </c>
      <c r="H19" s="32">
        <v>15000</v>
      </c>
      <c r="I19" s="34">
        <v>60</v>
      </c>
      <c r="J19" s="35">
        <f t="shared" si="23"/>
        <v>131.3</v>
      </c>
      <c r="K19" s="36">
        <v>0.8</v>
      </c>
      <c r="L19" s="35">
        <f t="shared" si="24"/>
        <v>164.125</v>
      </c>
      <c r="M19" s="37">
        <f t="shared" si="25"/>
        <v>2688.6932855379105</v>
      </c>
      <c r="N19" s="38">
        <f t="shared" si="26"/>
        <v>20590</v>
      </c>
      <c r="O19" s="44">
        <f t="shared" si="27"/>
        <v>967929.5827936478</v>
      </c>
      <c r="P19" s="37">
        <f t="shared" si="28"/>
        <v>5104.944</v>
      </c>
      <c r="Q19" s="15">
        <v>2</v>
      </c>
      <c r="R19" s="39">
        <f t="shared" si="29"/>
        <v>173.15377151943608</v>
      </c>
      <c r="S19" s="39">
        <f t="shared" si="30"/>
        <v>37.709583247376024</v>
      </c>
      <c r="T19" s="39">
        <f t="shared" si="31"/>
        <v>123.97091312880465</v>
      </c>
      <c r="U19" s="40">
        <f t="shared" si="32"/>
        <v>30799.888</v>
      </c>
      <c r="V19" s="41">
        <f t="shared" si="33"/>
        <v>62.852798866908074</v>
      </c>
      <c r="X19" s="30">
        <f>X14</f>
        <v>3.6</v>
      </c>
    </row>
    <row r="20" spans="1:24" ht="17.25">
      <c r="A20" s="52">
        <v>16</v>
      </c>
      <c r="B20" s="16" t="s">
        <v>619</v>
      </c>
      <c r="C20" s="26">
        <v>1024</v>
      </c>
      <c r="D20" s="31">
        <f>SUMIF(VGAMaster!$B:$B,B20,VGAMaster!$Q:$Q)</f>
        <v>2809.2664365526903</v>
      </c>
      <c r="E20" s="15">
        <v>1</v>
      </c>
      <c r="F20" s="32">
        <v>6690</v>
      </c>
      <c r="G20" s="33">
        <f>IF((SUMIF(VGAMaster!$B:$B,B20,VGAMaster!$U:$U)*0.65+SUMIF(VGAMaster!$B:$B,B20,VGAMaster!$T:$T)*0.35)=0,1/0,SUMIF(VGAMaster!$B:$B,B20,VGAMaster!$U:$U)*0.65+SUMIF(VGAMaster!$B:$B,B20,VGAMaster!$T:$T)*0.35)</f>
        <v>111</v>
      </c>
      <c r="H20" s="32">
        <v>20000</v>
      </c>
      <c r="I20" s="34">
        <v>60</v>
      </c>
      <c r="J20" s="35">
        <f>I20+G20*E20</f>
        <v>171</v>
      </c>
      <c r="K20" s="36">
        <v>0.8</v>
      </c>
      <c r="L20" s="35">
        <f>J20/K20</f>
        <v>213.75</v>
      </c>
      <c r="M20" s="37">
        <f>D20*E20</f>
        <v>2809.2664365526903</v>
      </c>
      <c r="N20" s="38">
        <f>H20+F20*E20</f>
        <v>26690</v>
      </c>
      <c r="O20" s="44">
        <f>M20*360</f>
        <v>1011335.9171589685</v>
      </c>
      <c r="P20" s="37">
        <f>L20*0.001*24*360*X20</f>
        <v>6648.48</v>
      </c>
      <c r="Q20" s="15">
        <v>2</v>
      </c>
      <c r="R20" s="39">
        <f>D20/F20*360</f>
        <v>151.1712880656156</v>
      </c>
      <c r="S20" s="39">
        <f>D20/G20</f>
        <v>25.308706635609823</v>
      </c>
      <c r="T20" s="39">
        <f>D20*360/(F20+G20*0.001*24*360*X20)</f>
        <v>99.71225337143902</v>
      </c>
      <c r="U20" s="40">
        <f>Q20*P20+N20</f>
        <v>39986.96</v>
      </c>
      <c r="V20" s="41">
        <f>O20*Q20/U20</f>
        <v>50.583286009187425</v>
      </c>
      <c r="X20" s="30">
        <f>X13</f>
        <v>3.6</v>
      </c>
    </row>
    <row r="21" spans="1:24" ht="17.25">
      <c r="A21" s="52">
        <v>16</v>
      </c>
      <c r="B21" s="16" t="s">
        <v>534</v>
      </c>
      <c r="C21" s="26">
        <v>1024</v>
      </c>
      <c r="D21" s="31">
        <f>SUMIF(VGAMaster!$B:$B,B21,VGAMaster!$Q:$Q)</f>
        <v>4005.641266994876</v>
      </c>
      <c r="E21" s="15">
        <v>1</v>
      </c>
      <c r="F21" s="32">
        <v>9900</v>
      </c>
      <c r="G21" s="33">
        <f>IF((SUMIF(VGAMaster!$B:$B,B21,VGAMaster!$U:$U)*0.65+SUMIF(VGAMaster!$B:$B,B21,VGAMaster!$T:$T)*0.35)=0,1/0,SUMIF(VGAMaster!$B:$B,B21,VGAMaster!$U:$U)*0.65+SUMIF(VGAMaster!$B:$B,B21,VGAMaster!$T:$T)*0.35)</f>
        <v>104.5</v>
      </c>
      <c r="H21" s="32">
        <v>20000</v>
      </c>
      <c r="I21" s="34">
        <v>60</v>
      </c>
      <c r="J21" s="35">
        <f t="shared" si="23"/>
        <v>164.5</v>
      </c>
      <c r="K21" s="36">
        <v>0.8</v>
      </c>
      <c r="L21" s="35">
        <f t="shared" si="24"/>
        <v>205.625</v>
      </c>
      <c r="M21" s="37">
        <f t="shared" si="25"/>
        <v>4005.641266994876</v>
      </c>
      <c r="N21" s="38">
        <f t="shared" si="26"/>
        <v>29900</v>
      </c>
      <c r="O21" s="44">
        <f t="shared" si="27"/>
        <v>1442030.8561181554</v>
      </c>
      <c r="P21" s="37">
        <f t="shared" si="28"/>
        <v>6395.76</v>
      </c>
      <c r="Q21" s="15">
        <v>2</v>
      </c>
      <c r="R21" s="39">
        <f t="shared" si="29"/>
        <v>145.65968243617732</v>
      </c>
      <c r="S21" s="39">
        <f t="shared" si="30"/>
        <v>38.331495377941394</v>
      </c>
      <c r="T21" s="39">
        <f t="shared" si="31"/>
        <v>109.65707241943004</v>
      </c>
      <c r="U21" s="40">
        <f t="shared" si="32"/>
        <v>42691.520000000004</v>
      </c>
      <c r="V21" s="41">
        <f t="shared" si="33"/>
        <v>67.55584510076733</v>
      </c>
      <c r="X21" s="30">
        <f>X14</f>
        <v>3.6</v>
      </c>
    </row>
    <row r="22" spans="1:24" ht="17.25">
      <c r="A22" s="52">
        <v>17</v>
      </c>
      <c r="B22" s="16" t="s">
        <v>535</v>
      </c>
      <c r="C22" s="26">
        <v>1024</v>
      </c>
      <c r="D22" s="31">
        <f>SUMIF(VGAMaster!$B:$B,B22,VGAMaster!$Q:$Q)</f>
        <v>4733.761993516891</v>
      </c>
      <c r="E22" s="15">
        <v>1</v>
      </c>
      <c r="F22" s="32">
        <v>14900</v>
      </c>
      <c r="G22" s="33">
        <f>IF((SUMIF(VGAMaster!$B:$B,B22,VGAMaster!$U:$U)*0.65+SUMIF(VGAMaster!$B:$B,B22,VGAMaster!$T:$T)*0.35)=0,1/0,SUMIF(VGAMaster!$B:$B,B22,VGAMaster!$U:$U)*0.65+SUMIF(VGAMaster!$B:$B,B22,VGAMaster!$T:$T)*0.35)</f>
        <v>143.5</v>
      </c>
      <c r="H22" s="32">
        <v>20000</v>
      </c>
      <c r="I22" s="34">
        <v>60</v>
      </c>
      <c r="J22" s="35">
        <f t="shared" si="23"/>
        <v>203.5</v>
      </c>
      <c r="K22" s="36">
        <v>0.8</v>
      </c>
      <c r="L22" s="35">
        <f t="shared" si="24"/>
        <v>254.375</v>
      </c>
      <c r="M22" s="37">
        <f t="shared" si="25"/>
        <v>4733.761993516891</v>
      </c>
      <c r="N22" s="38">
        <f t="shared" si="26"/>
        <v>34900</v>
      </c>
      <c r="O22" s="44">
        <f t="shared" si="27"/>
        <v>1704154.3176660808</v>
      </c>
      <c r="P22" s="37">
        <f t="shared" si="28"/>
        <v>7912.080000000001</v>
      </c>
      <c r="Q22" s="15">
        <v>2</v>
      </c>
      <c r="R22" s="39">
        <f t="shared" si="29"/>
        <v>114.37277299772354</v>
      </c>
      <c r="S22" s="39">
        <f t="shared" si="30"/>
        <v>32.9878884565637</v>
      </c>
      <c r="T22" s="39">
        <f t="shared" si="31"/>
        <v>88.00893466290263</v>
      </c>
      <c r="U22" s="40">
        <f t="shared" si="32"/>
        <v>50724.16</v>
      </c>
      <c r="V22" s="41">
        <f t="shared" si="33"/>
        <v>67.19300300551377</v>
      </c>
      <c r="X22" s="30">
        <f>X14</f>
        <v>3.6</v>
      </c>
    </row>
    <row r="23" spans="1:24" ht="17.25">
      <c r="A23" s="52">
        <v>18</v>
      </c>
      <c r="B23" s="16" t="s">
        <v>587</v>
      </c>
      <c r="C23" s="26">
        <v>2048</v>
      </c>
      <c r="D23" s="31">
        <f>SUMIF(VGAMaster!$B:$B,B23,VGAMaster!$Q:$Q)</f>
        <v>4733.761993516891</v>
      </c>
      <c r="E23" s="15">
        <v>1</v>
      </c>
      <c r="F23" s="32">
        <v>18000</v>
      </c>
      <c r="G23" s="33">
        <f>IF((SUMIF(VGAMaster!$B:$B,B23,VGAMaster!$U:$U)*0.65+SUMIF(VGAMaster!$B:$B,B23,VGAMaster!$T:$T)*0.35)=0,1/0,SUMIF(VGAMaster!$B:$B,B23,VGAMaster!$U:$U)*0.65+SUMIF(VGAMaster!$B:$B,B23,VGAMaster!$T:$T)*0.35)</f>
        <v>151.75</v>
      </c>
      <c r="H23" s="32">
        <v>20000</v>
      </c>
      <c r="I23" s="34">
        <v>60</v>
      </c>
      <c r="J23" s="35">
        <f>I23+G23*E23</f>
        <v>211.75</v>
      </c>
      <c r="K23" s="36">
        <v>0.8</v>
      </c>
      <c r="L23" s="35">
        <f>J23/K23</f>
        <v>264.6875</v>
      </c>
      <c r="M23" s="37">
        <f>D23*E23</f>
        <v>4733.761993516891</v>
      </c>
      <c r="N23" s="38">
        <f>H23+F23*E23</f>
        <v>38000</v>
      </c>
      <c r="O23" s="44">
        <f>M23*360</f>
        <v>1704154.3176660808</v>
      </c>
      <c r="P23" s="37">
        <f>L23*0.001*24*360*X23</f>
        <v>8232.840000000002</v>
      </c>
      <c r="Q23" s="15">
        <v>2</v>
      </c>
      <c r="R23" s="39">
        <f>D23/F23*360</f>
        <v>94.67523987033782</v>
      </c>
      <c r="S23" s="39">
        <f>D23/G23</f>
        <v>31.19447771675052</v>
      </c>
      <c r="T23" s="39">
        <f>D23*360/(F23+G23*0.001*24*360*X23)</f>
        <v>75.00668650757538</v>
      </c>
      <c r="U23" s="40">
        <f>Q23*P23+N23</f>
        <v>54465.68000000001</v>
      </c>
      <c r="V23" s="41">
        <f>O23*Q23/U23</f>
        <v>62.577179525384814</v>
      </c>
      <c r="X23" s="30">
        <f>X15</f>
        <v>3.6</v>
      </c>
    </row>
    <row r="24" spans="1:24" ht="17.25">
      <c r="A24" s="52">
        <v>19</v>
      </c>
      <c r="B24" s="16" t="s">
        <v>536</v>
      </c>
      <c r="C24" s="26">
        <v>1024</v>
      </c>
      <c r="D24" s="31">
        <f>SUMIF(VGAMaster!$B:$B,B24,VGAMaster!$Q:$Q)</f>
        <v>8288.778520363163</v>
      </c>
      <c r="E24" s="15">
        <v>1</v>
      </c>
      <c r="F24" s="32">
        <v>18000</v>
      </c>
      <c r="G24" s="33">
        <f>IF((SUMIF(VGAMaster!$B:$B,B24,VGAMaster!$U:$U)*0.65+SUMIF(VGAMaster!$B:$B,B24,VGAMaster!$T:$T)*0.35)=0,1/0,SUMIF(VGAMaster!$B:$B,B24,VGAMaster!$U:$U)*0.65+SUMIF(VGAMaster!$B:$B,B24,VGAMaster!$T:$T)*0.35)</f>
        <v>207.5</v>
      </c>
      <c r="H24" s="32">
        <v>20000</v>
      </c>
      <c r="I24" s="34">
        <v>60</v>
      </c>
      <c r="J24" s="35">
        <f t="shared" si="23"/>
        <v>267.5</v>
      </c>
      <c r="K24" s="36">
        <v>0.8</v>
      </c>
      <c r="L24" s="35">
        <f t="shared" si="24"/>
        <v>334.375</v>
      </c>
      <c r="M24" s="37">
        <f t="shared" si="25"/>
        <v>8288.778520363163</v>
      </c>
      <c r="N24" s="38">
        <f t="shared" si="26"/>
        <v>38000</v>
      </c>
      <c r="O24" s="44">
        <f t="shared" si="27"/>
        <v>2983960.2673307387</v>
      </c>
      <c r="P24" s="37">
        <f t="shared" si="28"/>
        <v>10400.4</v>
      </c>
      <c r="Q24" s="15">
        <v>2</v>
      </c>
      <c r="R24" s="39">
        <f t="shared" si="29"/>
        <v>165.77557040726325</v>
      </c>
      <c r="S24" s="39">
        <f t="shared" si="30"/>
        <v>39.94592058006344</v>
      </c>
      <c r="T24" s="39">
        <f t="shared" si="31"/>
        <v>122.02300259632497</v>
      </c>
      <c r="U24" s="40">
        <f t="shared" si="32"/>
        <v>58800.8</v>
      </c>
      <c r="V24" s="41">
        <f t="shared" si="33"/>
        <v>101.49386631919084</v>
      </c>
      <c r="X24" s="30">
        <f>X22</f>
        <v>3.6</v>
      </c>
    </row>
    <row r="25" spans="2:9" ht="17.25">
      <c r="B25" s="46" t="s">
        <v>99</v>
      </c>
      <c r="C25" s="47"/>
      <c r="D25" s="48">
        <v>3.6</v>
      </c>
      <c r="E25" s="49" t="s">
        <v>106</v>
      </c>
      <c r="F25" s="50" t="s">
        <v>107</v>
      </c>
      <c r="G25" s="51"/>
      <c r="H25" s="51"/>
      <c r="I25" s="51"/>
    </row>
  </sheetData>
  <autoFilter ref="A1:V25"/>
  <printOptions/>
  <pageMargins left="0.75" right="0.75" top="1" bottom="1" header="0.5" footer="0.5"/>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X27"/>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D4" sqref="D4"/>
    </sheetView>
  </sheetViews>
  <sheetFormatPr defaultColWidth="9.00390625" defaultRowHeight="16.5"/>
  <cols>
    <col min="1" max="1" width="6.00390625" style="30" customWidth="1"/>
    <col min="2" max="2" width="29.125" style="30" customWidth="1"/>
    <col min="3" max="3" width="9.625" style="30" customWidth="1"/>
    <col min="4" max="4" width="9.00390625" style="30" customWidth="1"/>
    <col min="5" max="5" width="8.00390625" style="30" customWidth="1"/>
    <col min="6" max="6" width="11.75390625" style="30" customWidth="1"/>
    <col min="7" max="7" width="10.625" style="30" customWidth="1"/>
    <col min="8" max="8" width="13.50390625" style="30" customWidth="1"/>
    <col min="9" max="9" width="10.25390625" style="30" customWidth="1"/>
    <col min="10" max="11" width="10.375" style="30" customWidth="1"/>
    <col min="12" max="12" width="10.25390625" style="30" customWidth="1"/>
    <col min="13" max="13" width="8.00390625" style="30" customWidth="1"/>
    <col min="14" max="14" width="13.875" style="30" customWidth="1"/>
    <col min="15" max="15" width="13.125" style="30" customWidth="1"/>
    <col min="16" max="16" width="12.375" style="30" customWidth="1"/>
    <col min="17" max="17" width="9.00390625" style="30" customWidth="1"/>
    <col min="18" max="18" width="11.50390625" style="30" customWidth="1"/>
    <col min="19" max="19" width="10.125" style="30" customWidth="1"/>
    <col min="20" max="20" width="12.75390625" style="30" customWidth="1"/>
    <col min="21" max="21" width="13.375" style="30" customWidth="1"/>
    <col min="22" max="22" width="10.625" style="30" customWidth="1"/>
    <col min="23" max="16384" width="9.00390625" style="30" customWidth="1"/>
  </cols>
  <sheetData>
    <row r="1" spans="1:24" s="27" customFormat="1" ht="41.25" customHeight="1">
      <c r="A1" s="27" t="s">
        <v>71</v>
      </c>
      <c r="B1" s="28" t="s">
        <v>78</v>
      </c>
      <c r="C1" s="28" t="s">
        <v>79</v>
      </c>
      <c r="D1" s="28" t="s">
        <v>80</v>
      </c>
      <c r="E1" s="28" t="s">
        <v>81</v>
      </c>
      <c r="F1" s="28" t="s">
        <v>82</v>
      </c>
      <c r="G1" s="28" t="s">
        <v>83</v>
      </c>
      <c r="H1" s="28" t="s">
        <v>84</v>
      </c>
      <c r="I1" s="28" t="s">
        <v>85</v>
      </c>
      <c r="J1" s="28" t="s">
        <v>86</v>
      </c>
      <c r="K1" s="28" t="s">
        <v>87</v>
      </c>
      <c r="L1" s="28" t="s">
        <v>88</v>
      </c>
      <c r="M1" s="28" t="s">
        <v>89</v>
      </c>
      <c r="N1" s="29" t="s">
        <v>90</v>
      </c>
      <c r="O1" s="29" t="s">
        <v>91</v>
      </c>
      <c r="P1" s="29" t="s">
        <v>92</v>
      </c>
      <c r="Q1" s="29" t="s">
        <v>93</v>
      </c>
      <c r="R1" s="29" t="s">
        <v>94</v>
      </c>
      <c r="S1" s="29" t="s">
        <v>95</v>
      </c>
      <c r="T1" s="29" t="s">
        <v>96</v>
      </c>
      <c r="U1" s="29" t="s">
        <v>97</v>
      </c>
      <c r="V1" s="29" t="s">
        <v>584</v>
      </c>
      <c r="X1" s="27" t="s">
        <v>99</v>
      </c>
    </row>
    <row r="2" spans="1:24" s="27" customFormat="1" ht="16.5" customHeight="1">
      <c r="A2" s="127">
        <v>0</v>
      </c>
      <c r="B2" s="28" t="s">
        <v>108</v>
      </c>
      <c r="C2" s="26">
        <v>512</v>
      </c>
      <c r="D2" s="31">
        <v>1000</v>
      </c>
      <c r="E2" s="15">
        <v>1</v>
      </c>
      <c r="F2" s="128">
        <v>1999</v>
      </c>
      <c r="G2" s="33">
        <v>0</v>
      </c>
      <c r="H2" s="128">
        <v>0</v>
      </c>
      <c r="I2" s="34">
        <v>180</v>
      </c>
      <c r="J2" s="35">
        <f aca="true" t="shared" si="0" ref="J2:J26">I2+G2*E2</f>
        <v>180</v>
      </c>
      <c r="K2" s="36">
        <v>1</v>
      </c>
      <c r="L2" s="35">
        <f aca="true" t="shared" si="1" ref="L2:L26">J2/K2</f>
        <v>180</v>
      </c>
      <c r="M2" s="37">
        <f aca="true" t="shared" si="2" ref="M2:M26">D2*E2</f>
        <v>1000</v>
      </c>
      <c r="N2" s="129">
        <f aca="true" t="shared" si="3" ref="N2:N26">H2+F2*E2</f>
        <v>1999</v>
      </c>
      <c r="O2" s="44">
        <f aca="true" t="shared" si="4" ref="O2:O26">M2*360</f>
        <v>360000</v>
      </c>
      <c r="P2" s="130">
        <f aca="true" t="shared" si="5" ref="P2:P26">L2*0.001*24*360*X2</f>
        <v>933.12</v>
      </c>
      <c r="Q2" s="15">
        <v>2</v>
      </c>
      <c r="R2" s="39">
        <f aca="true" t="shared" si="6" ref="R2:R26">D2/F2*360</f>
        <v>180.09004502251128</v>
      </c>
      <c r="S2" s="39" t="e">
        <f aca="true" t="shared" si="7" ref="S2:S26">D2/G2</f>
        <v>#DIV/0!</v>
      </c>
      <c r="T2" s="39">
        <f aca="true" t="shared" si="8" ref="T2:T26">D2*360/(F2+G2*0.001*24*360*X2)</f>
        <v>180.09004502251125</v>
      </c>
      <c r="U2" s="131">
        <f aca="true" t="shared" si="9" ref="U2:U26">Q2*P2+N2</f>
        <v>3865.24</v>
      </c>
      <c r="V2" s="132">
        <f aca="true" t="shared" si="10" ref="V2:V26">O2*Q2/U2</f>
        <v>186.27562583435957</v>
      </c>
      <c r="X2" s="27">
        <f>D27</f>
        <v>0.6</v>
      </c>
    </row>
    <row r="3" spans="1:24" s="27" customFormat="1" ht="16.5" customHeight="1">
      <c r="A3" s="121">
        <v>1</v>
      </c>
      <c r="B3" s="28" t="s">
        <v>542</v>
      </c>
      <c r="C3" s="26">
        <v>6144</v>
      </c>
      <c r="D3" s="31">
        <v>20000</v>
      </c>
      <c r="E3" s="15">
        <v>1</v>
      </c>
      <c r="F3" s="128">
        <v>1999</v>
      </c>
      <c r="G3" s="33">
        <v>200</v>
      </c>
      <c r="H3" s="128">
        <v>6000</v>
      </c>
      <c r="I3" s="34">
        <v>80</v>
      </c>
      <c r="J3" s="35">
        <f t="shared" si="0"/>
        <v>280</v>
      </c>
      <c r="K3" s="36">
        <v>0.82</v>
      </c>
      <c r="L3" s="35">
        <f t="shared" si="1"/>
        <v>341.4634146341464</v>
      </c>
      <c r="M3" s="37">
        <f t="shared" si="2"/>
        <v>20000</v>
      </c>
      <c r="N3" s="129">
        <f t="shared" si="3"/>
        <v>7999</v>
      </c>
      <c r="O3" s="44">
        <f t="shared" si="4"/>
        <v>7200000</v>
      </c>
      <c r="P3" s="37">
        <f t="shared" si="5"/>
        <v>1770.1463414634147</v>
      </c>
      <c r="Q3" s="15">
        <v>2</v>
      </c>
      <c r="R3" s="39">
        <f t="shared" si="6"/>
        <v>3601.8009004502255</v>
      </c>
      <c r="S3" s="39">
        <f t="shared" si="7"/>
        <v>100</v>
      </c>
      <c r="T3" s="39">
        <f t="shared" si="8"/>
        <v>2371.6977402990974</v>
      </c>
      <c r="U3" s="40">
        <f t="shared" si="9"/>
        <v>11539.292682926829</v>
      </c>
      <c r="V3" s="41">
        <f t="shared" si="10"/>
        <v>1247.9101098896454</v>
      </c>
      <c r="X3" s="27">
        <f>X2</f>
        <v>0.6</v>
      </c>
    </row>
    <row r="4" spans="1:24" ht="17.25">
      <c r="A4" s="133">
        <v>2</v>
      </c>
      <c r="B4" s="14" t="s">
        <v>101</v>
      </c>
      <c r="C4" s="26">
        <v>256</v>
      </c>
      <c r="D4" s="31">
        <f>SUMIF(VGAMaster!$B:$B,B4,VGAMaster!$Q:$Q)</f>
        <v>1466.6836692054796</v>
      </c>
      <c r="E4" s="15">
        <v>1</v>
      </c>
      <c r="F4" s="128">
        <v>349</v>
      </c>
      <c r="G4" s="33" t="e">
        <f>IF((SUMIF(VGAMaster!$B:$B,B4,VGAMaster!$U:$U)*0.75+SUMIF(VGAMaster!$B:$B,B4,VGAMaster!$T:$T)*0.25)=0,1/0,SUMIF(VGAMaster!$B:$B,B4,VGAMaster!$U:$U)*0.75+SUMIF(VGAMaster!$B:$B,B4,VGAMaster!$T:$T)*0.25)</f>
        <v>#DIV/0!</v>
      </c>
      <c r="H4" s="128">
        <v>2000</v>
      </c>
      <c r="I4" s="34">
        <v>60</v>
      </c>
      <c r="J4" s="35" t="e">
        <f t="shared" si="0"/>
        <v>#DIV/0!</v>
      </c>
      <c r="K4" s="36">
        <v>0.82</v>
      </c>
      <c r="L4" s="35" t="e">
        <f t="shared" si="1"/>
        <v>#DIV/0!</v>
      </c>
      <c r="M4" s="37">
        <f t="shared" si="2"/>
        <v>1466.6836692054796</v>
      </c>
      <c r="N4" s="129">
        <f t="shared" si="3"/>
        <v>2349</v>
      </c>
      <c r="O4" s="44">
        <f t="shared" si="4"/>
        <v>528006.1209139727</v>
      </c>
      <c r="P4" s="130" t="e">
        <f t="shared" si="5"/>
        <v>#DIV/0!</v>
      </c>
      <c r="Q4" s="15">
        <v>2</v>
      </c>
      <c r="R4" s="39">
        <f t="shared" si="6"/>
        <v>1512.9115212434747</v>
      </c>
      <c r="S4" s="39" t="e">
        <f t="shared" si="7"/>
        <v>#DIV/0!</v>
      </c>
      <c r="T4" s="39" t="e">
        <f t="shared" si="8"/>
        <v>#DIV/0!</v>
      </c>
      <c r="U4" s="131" t="e">
        <f t="shared" si="9"/>
        <v>#DIV/0!</v>
      </c>
      <c r="V4" s="132" t="e">
        <f t="shared" si="10"/>
        <v>#DIV/0!</v>
      </c>
      <c r="X4" s="30">
        <f>X2</f>
        <v>0.6</v>
      </c>
    </row>
    <row r="5" spans="1:24" ht="17.25">
      <c r="A5" s="133">
        <v>3</v>
      </c>
      <c r="B5" s="16" t="s">
        <v>102</v>
      </c>
      <c r="C5" s="26">
        <v>512</v>
      </c>
      <c r="D5" s="31">
        <f>SUMIF(VGAMaster!$B:$B,B5,VGAMaster!$Q:$Q)</f>
        <v>3170.5181021065473</v>
      </c>
      <c r="E5" s="15">
        <v>1</v>
      </c>
      <c r="F5" s="128">
        <v>499</v>
      </c>
      <c r="G5" s="33" t="e">
        <f>IF((SUMIF(VGAMaster!$B:$B,B5,VGAMaster!$U:$U)*0.75+SUMIF(VGAMaster!$B:$B,B5,VGAMaster!$T:$T)*0.25)=0,1/0,SUMIF(VGAMaster!$B:$B,B5,VGAMaster!$U:$U)*0.75+SUMIF(VGAMaster!$B:$B,B5,VGAMaster!$T:$T)*0.25)</f>
        <v>#DIV/0!</v>
      </c>
      <c r="H5" s="128">
        <v>3000</v>
      </c>
      <c r="I5" s="34">
        <v>60</v>
      </c>
      <c r="J5" s="35" t="e">
        <f t="shared" si="0"/>
        <v>#DIV/0!</v>
      </c>
      <c r="K5" s="36">
        <v>0.82</v>
      </c>
      <c r="L5" s="35" t="e">
        <f t="shared" si="1"/>
        <v>#DIV/0!</v>
      </c>
      <c r="M5" s="37">
        <f t="shared" si="2"/>
        <v>3170.5181021065473</v>
      </c>
      <c r="N5" s="129">
        <f t="shared" si="3"/>
        <v>3499</v>
      </c>
      <c r="O5" s="44">
        <f t="shared" si="4"/>
        <v>1141386.516758357</v>
      </c>
      <c r="P5" s="130" t="e">
        <f t="shared" si="5"/>
        <v>#DIV/0!</v>
      </c>
      <c r="Q5" s="15">
        <v>2</v>
      </c>
      <c r="R5" s="39">
        <f t="shared" si="6"/>
        <v>2287.3477289746634</v>
      </c>
      <c r="S5" s="39" t="e">
        <f t="shared" si="7"/>
        <v>#DIV/0!</v>
      </c>
      <c r="T5" s="39" t="e">
        <f t="shared" si="8"/>
        <v>#DIV/0!</v>
      </c>
      <c r="U5" s="131" t="e">
        <f t="shared" si="9"/>
        <v>#DIV/0!</v>
      </c>
      <c r="V5" s="132" t="e">
        <f t="shared" si="10"/>
        <v>#DIV/0!</v>
      </c>
      <c r="X5" s="30">
        <f aca="true" t="shared" si="11" ref="X5:X11">X4</f>
        <v>0.6</v>
      </c>
    </row>
    <row r="6" spans="1:24" ht="17.25">
      <c r="A6" s="133">
        <v>5</v>
      </c>
      <c r="B6" s="16" t="s">
        <v>103</v>
      </c>
      <c r="C6" s="26">
        <v>512</v>
      </c>
      <c r="D6" s="31">
        <f>SUMIF(VGAMaster!$B:$B,B6,VGAMaster!$Q:$Q)</f>
        <v>4475.6121432250875</v>
      </c>
      <c r="E6" s="15">
        <v>1</v>
      </c>
      <c r="F6" s="128">
        <v>599</v>
      </c>
      <c r="G6" s="33">
        <f>IF((SUMIF(VGAMaster!$B:$B,B6,VGAMaster!$U:$U)*0.75+SUMIF(VGAMaster!$B:$B,B6,VGAMaster!$T:$T)*0.25)=0,1/0,SUMIF(VGAMaster!$B:$B,B6,VGAMaster!$U:$U)*0.75+SUMIF(VGAMaster!$B:$B,B6,VGAMaster!$T:$T)*0.25)</f>
        <v>95</v>
      </c>
      <c r="H6" s="128">
        <v>3000</v>
      </c>
      <c r="I6" s="34">
        <v>60</v>
      </c>
      <c r="J6" s="35">
        <f t="shared" si="0"/>
        <v>155</v>
      </c>
      <c r="K6" s="36">
        <v>0.82</v>
      </c>
      <c r="L6" s="35">
        <f t="shared" si="1"/>
        <v>189.02439024390245</v>
      </c>
      <c r="M6" s="37">
        <f t="shared" si="2"/>
        <v>4475.6121432250875</v>
      </c>
      <c r="N6" s="129">
        <f t="shared" si="3"/>
        <v>3599</v>
      </c>
      <c r="O6" s="44">
        <f t="shared" si="4"/>
        <v>1611220.3715610316</v>
      </c>
      <c r="P6" s="130">
        <f t="shared" si="5"/>
        <v>979.9024390243902</v>
      </c>
      <c r="Q6" s="15">
        <v>2</v>
      </c>
      <c r="R6" s="39">
        <f t="shared" si="6"/>
        <v>2689.8503698848604</v>
      </c>
      <c r="S6" s="39">
        <f t="shared" si="7"/>
        <v>47.11170677079039</v>
      </c>
      <c r="T6" s="39">
        <f t="shared" si="8"/>
        <v>1476.1794733398976</v>
      </c>
      <c r="U6" s="131">
        <f t="shared" si="9"/>
        <v>5558.804878048781</v>
      </c>
      <c r="V6" s="132">
        <f t="shared" si="10"/>
        <v>579.7002797934482</v>
      </c>
      <c r="X6" s="30">
        <f>X5</f>
        <v>0.6</v>
      </c>
    </row>
    <row r="7" spans="1:24" ht="17.25">
      <c r="A7" s="133">
        <v>6</v>
      </c>
      <c r="B7" s="14" t="s">
        <v>308</v>
      </c>
      <c r="C7" s="26">
        <v>512</v>
      </c>
      <c r="D7" s="31">
        <f>SUMIF(VGAMaster!$B:$B,B7,VGAMaster!$Q:$Q)</f>
        <v>4109.248467735606</v>
      </c>
      <c r="E7" s="15">
        <v>1</v>
      </c>
      <c r="F7" s="128">
        <v>699</v>
      </c>
      <c r="G7" s="33">
        <f>IF((SUMIF(VGAMaster!$B:$B,B7,VGAMaster!$U:$U)*0.75+SUMIF(VGAMaster!$B:$B,B7,VGAMaster!$T:$T)*0.25)=0,1/0,SUMIF(VGAMaster!$B:$B,B7,VGAMaster!$U:$U)*0.75+SUMIF(VGAMaster!$B:$B,B7,VGAMaster!$T:$T)*0.25)</f>
        <v>71.25</v>
      </c>
      <c r="H7" s="128">
        <v>3000</v>
      </c>
      <c r="I7" s="34">
        <v>60</v>
      </c>
      <c r="J7" s="35">
        <f t="shared" si="0"/>
        <v>131.25</v>
      </c>
      <c r="K7" s="36">
        <v>0.82</v>
      </c>
      <c r="L7" s="35">
        <f t="shared" si="1"/>
        <v>160.0609756097561</v>
      </c>
      <c r="M7" s="37">
        <f t="shared" si="2"/>
        <v>4109.248467735606</v>
      </c>
      <c r="N7" s="129">
        <f t="shared" si="3"/>
        <v>3699</v>
      </c>
      <c r="O7" s="44">
        <f t="shared" si="4"/>
        <v>1479329.4483848182</v>
      </c>
      <c r="P7" s="130">
        <f t="shared" si="5"/>
        <v>829.7560975609756</v>
      </c>
      <c r="Q7" s="15">
        <v>2</v>
      </c>
      <c r="R7" s="39">
        <f t="shared" si="6"/>
        <v>2116.351142181428</v>
      </c>
      <c r="S7" s="39">
        <f t="shared" si="7"/>
        <v>57.67366270506114</v>
      </c>
      <c r="T7" s="39">
        <f t="shared" si="8"/>
        <v>1384.6731891729548</v>
      </c>
      <c r="U7" s="131">
        <f t="shared" si="9"/>
        <v>5358.512195121952</v>
      </c>
      <c r="V7" s="132">
        <f t="shared" si="10"/>
        <v>552.1418612171884</v>
      </c>
      <c r="X7" s="30">
        <f t="shared" si="11"/>
        <v>0.6</v>
      </c>
    </row>
    <row r="8" spans="1:24" ht="17.25">
      <c r="A8" s="133">
        <v>7</v>
      </c>
      <c r="B8" s="14" t="s">
        <v>558</v>
      </c>
      <c r="C8" s="26">
        <v>256</v>
      </c>
      <c r="D8" s="31">
        <f>SUMIF(VGAMaster!$B:$B,B8,VGAMaster!$Q:$Q)</f>
        <v>646.8633955604172</v>
      </c>
      <c r="E8" s="15">
        <v>1</v>
      </c>
      <c r="F8" s="128">
        <v>299</v>
      </c>
      <c r="G8" s="33">
        <f>IF((SUMIF(VGAMaster!$B:$B,B8,VGAMaster!$U:$U)*0.75+SUMIF(VGAMaster!$B:$B,B8,VGAMaster!$T:$T)*0.25)=0,1/0,SUMIF(VGAMaster!$B:$B,B8,VGAMaster!$U:$U)*0.75+SUMIF(VGAMaster!$B:$B,B8,VGAMaster!$T:$T)*0.25)</f>
        <v>15</v>
      </c>
      <c r="H8" s="128">
        <v>2000</v>
      </c>
      <c r="I8" s="34">
        <v>60</v>
      </c>
      <c r="J8" s="35">
        <f t="shared" si="0"/>
        <v>75</v>
      </c>
      <c r="K8" s="36">
        <v>0.82</v>
      </c>
      <c r="L8" s="35">
        <f t="shared" si="1"/>
        <v>91.46341463414635</v>
      </c>
      <c r="M8" s="37">
        <f t="shared" si="2"/>
        <v>646.8633955604172</v>
      </c>
      <c r="N8" s="129">
        <f t="shared" si="3"/>
        <v>2299</v>
      </c>
      <c r="O8" s="44">
        <f t="shared" si="4"/>
        <v>232870.8224017502</v>
      </c>
      <c r="P8" s="130">
        <f t="shared" si="5"/>
        <v>474.1463414634146</v>
      </c>
      <c r="Q8" s="15">
        <v>2</v>
      </c>
      <c r="R8" s="39">
        <f t="shared" si="6"/>
        <v>778.8321819456528</v>
      </c>
      <c r="S8" s="39">
        <f t="shared" si="7"/>
        <v>43.12422637069448</v>
      </c>
      <c r="T8" s="39">
        <f t="shared" si="8"/>
        <v>618.0879668801099</v>
      </c>
      <c r="U8" s="131">
        <f t="shared" si="9"/>
        <v>3247.292682926829</v>
      </c>
      <c r="V8" s="132">
        <f t="shared" si="10"/>
        <v>143.42459712738955</v>
      </c>
      <c r="X8" s="30">
        <f t="shared" si="11"/>
        <v>0.6</v>
      </c>
    </row>
    <row r="9" spans="1:24" ht="17.25">
      <c r="A9" s="133">
        <v>8</v>
      </c>
      <c r="B9" s="14" t="s">
        <v>586</v>
      </c>
      <c r="C9" s="26">
        <v>256</v>
      </c>
      <c r="D9" s="31">
        <f>SUMIF(VGAMaster!$B:$B,B9,VGAMaster!$Q:$Q)</f>
        <v>1830.3906998648083</v>
      </c>
      <c r="E9" s="15">
        <v>1</v>
      </c>
      <c r="F9" s="128">
        <v>399</v>
      </c>
      <c r="G9" s="33">
        <f>IF((SUMIF(VGAMaster!$B:$B,B9,VGAMaster!$U:$U)*0.75+SUMIF(VGAMaster!$B:$B,B9,VGAMaster!$T:$T)*0.25)=0,1/0,SUMIF(VGAMaster!$B:$B,B9,VGAMaster!$U:$U)*0.75+SUMIF(VGAMaster!$B:$B,B9,VGAMaster!$T:$T)*0.25)</f>
        <v>32.5</v>
      </c>
      <c r="H9" s="128">
        <v>2000</v>
      </c>
      <c r="I9" s="34">
        <v>60</v>
      </c>
      <c r="J9" s="35">
        <f t="shared" si="0"/>
        <v>92.5</v>
      </c>
      <c r="K9" s="36">
        <v>0.82</v>
      </c>
      <c r="L9" s="35">
        <f t="shared" si="1"/>
        <v>112.8048780487805</v>
      </c>
      <c r="M9" s="37">
        <f t="shared" si="2"/>
        <v>1830.3906998648083</v>
      </c>
      <c r="N9" s="129">
        <f t="shared" si="3"/>
        <v>2399</v>
      </c>
      <c r="O9" s="44">
        <f t="shared" si="4"/>
        <v>658940.651951331</v>
      </c>
      <c r="P9" s="130">
        <f t="shared" si="5"/>
        <v>584.7804878048781</v>
      </c>
      <c r="Q9" s="15">
        <v>2</v>
      </c>
      <c r="R9" s="39">
        <f t="shared" si="6"/>
        <v>1651.4803307050902</v>
      </c>
      <c r="S9" s="39">
        <f t="shared" si="7"/>
        <v>56.3197138419941</v>
      </c>
      <c r="T9" s="39">
        <f t="shared" si="8"/>
        <v>1161.169824401443</v>
      </c>
      <c r="U9" s="131">
        <f t="shared" si="9"/>
        <v>3568.5609756097565</v>
      </c>
      <c r="V9" s="132">
        <f t="shared" si="10"/>
        <v>369.30328861130835</v>
      </c>
      <c r="X9" s="30">
        <f t="shared" si="11"/>
        <v>0.6</v>
      </c>
    </row>
    <row r="10" spans="1:24" ht="17.25">
      <c r="A10" s="133">
        <v>9</v>
      </c>
      <c r="B10" s="14" t="s">
        <v>522</v>
      </c>
      <c r="C10" s="26">
        <v>256</v>
      </c>
      <c r="D10" s="31">
        <f>SUMIF(VGAMaster!$B:$B,B10,VGAMaster!$Q:$Q)</f>
        <v>2925.1144213755842</v>
      </c>
      <c r="E10" s="15">
        <v>1</v>
      </c>
      <c r="F10" s="128">
        <v>499</v>
      </c>
      <c r="G10" s="33">
        <f>IF((SUMIF(VGAMaster!$B:$B,B10,VGAMaster!$U:$U)*0.75+SUMIF(VGAMaster!$B:$B,B10,VGAMaster!$T:$T)*0.25)=0,1/0,SUMIF(VGAMaster!$B:$B,B10,VGAMaster!$U:$U)*0.75+SUMIF(VGAMaster!$B:$B,B10,VGAMaster!$T:$T)*0.25)</f>
        <v>48</v>
      </c>
      <c r="H10" s="128">
        <v>2000</v>
      </c>
      <c r="I10" s="34">
        <v>60</v>
      </c>
      <c r="J10" s="35">
        <f t="shared" si="0"/>
        <v>108</v>
      </c>
      <c r="K10" s="36">
        <v>0.82</v>
      </c>
      <c r="L10" s="35">
        <f t="shared" si="1"/>
        <v>131.70731707317074</v>
      </c>
      <c r="M10" s="37">
        <f t="shared" si="2"/>
        <v>2925.1144213755842</v>
      </c>
      <c r="N10" s="129">
        <f t="shared" si="3"/>
        <v>2499</v>
      </c>
      <c r="O10" s="44">
        <f t="shared" si="4"/>
        <v>1053041.1916952103</v>
      </c>
      <c r="P10" s="130">
        <f t="shared" si="5"/>
        <v>682.770731707317</v>
      </c>
      <c r="Q10" s="15">
        <v>2</v>
      </c>
      <c r="R10" s="39">
        <f t="shared" si="6"/>
        <v>2110.3029893691587</v>
      </c>
      <c r="S10" s="39">
        <f t="shared" si="7"/>
        <v>60.93988377865801</v>
      </c>
      <c r="T10" s="39">
        <f t="shared" si="8"/>
        <v>1408.125343252509</v>
      </c>
      <c r="U10" s="131">
        <f t="shared" si="9"/>
        <v>3864.541463414634</v>
      </c>
      <c r="V10" s="132">
        <f t="shared" si="10"/>
        <v>544.9760090113064</v>
      </c>
      <c r="X10" s="30">
        <f t="shared" si="11"/>
        <v>0.6</v>
      </c>
    </row>
    <row r="11" spans="1:24" ht="17.25">
      <c r="A11" s="133">
        <v>10</v>
      </c>
      <c r="B11" s="16" t="s">
        <v>283</v>
      </c>
      <c r="C11" s="26">
        <v>1024</v>
      </c>
      <c r="D11" s="31">
        <f>SUMIF(VGAMaster!$B:$B,B11,VGAMaster!$Q:$Q)</f>
        <v>6055.780030975198</v>
      </c>
      <c r="E11" s="15">
        <v>1</v>
      </c>
      <c r="F11" s="128">
        <v>799</v>
      </c>
      <c r="G11" s="33">
        <f>IF((SUMIF(VGAMaster!$B:$B,B11,VGAMaster!$U:$U)*0.75+SUMIF(VGAMaster!$B:$B,B11,VGAMaster!$T:$T)*0.25)=0,1/0,SUMIF(VGAMaster!$B:$B,B11,VGAMaster!$U:$U)*0.75+SUMIF(VGAMaster!$B:$B,B11,VGAMaster!$T:$T)*0.25)</f>
        <v>120</v>
      </c>
      <c r="H11" s="128">
        <v>4000</v>
      </c>
      <c r="I11" s="34">
        <v>60</v>
      </c>
      <c r="J11" s="35">
        <f t="shared" si="0"/>
        <v>180</v>
      </c>
      <c r="K11" s="36">
        <v>0.82</v>
      </c>
      <c r="L11" s="35">
        <f t="shared" si="1"/>
        <v>219.51219512195124</v>
      </c>
      <c r="M11" s="37">
        <f t="shared" si="2"/>
        <v>6055.780030975198</v>
      </c>
      <c r="N11" s="129">
        <f t="shared" si="3"/>
        <v>4799</v>
      </c>
      <c r="O11" s="44">
        <f t="shared" si="4"/>
        <v>2180080.8111510715</v>
      </c>
      <c r="P11" s="130">
        <f t="shared" si="5"/>
        <v>1137.9512195121954</v>
      </c>
      <c r="Q11" s="15">
        <v>2</v>
      </c>
      <c r="R11" s="39">
        <f t="shared" si="6"/>
        <v>2728.5116535057214</v>
      </c>
      <c r="S11" s="39">
        <f t="shared" si="7"/>
        <v>50.464833591459985</v>
      </c>
      <c r="T11" s="39">
        <f t="shared" si="8"/>
        <v>1534.1013955238773</v>
      </c>
      <c r="U11" s="131">
        <f t="shared" si="9"/>
        <v>7074.90243902439</v>
      </c>
      <c r="V11" s="132">
        <f t="shared" si="10"/>
        <v>616.2857593981745</v>
      </c>
      <c r="X11" s="30">
        <f t="shared" si="11"/>
        <v>0.6</v>
      </c>
    </row>
    <row r="12" spans="1:24" ht="17.25">
      <c r="A12" s="133">
        <v>15</v>
      </c>
      <c r="B12" s="16" t="s">
        <v>618</v>
      </c>
      <c r="C12" s="26">
        <v>1024</v>
      </c>
      <c r="D12" s="31">
        <f>SUMIF(VGAMaster!$B:$B,B12,VGAMaster!$R:$R)</f>
        <v>8699.297180263906</v>
      </c>
      <c r="E12" s="15">
        <v>1</v>
      </c>
      <c r="F12" s="128">
        <v>1299</v>
      </c>
      <c r="G12" s="33">
        <f>IF((SUMIF(VGAMaster!$B:$B,B12,VGAMaster!$U:$U)*0.7+SUMIF(VGAMaster!$B:$B,B12,VGAMaster!$T:$T)*0.3)=0,1/0,SUMIF(VGAMaster!$B:$B,B12,VGAMaster!$U:$U)*0.7+SUMIF(VGAMaster!$B:$B,B12,VGAMaster!$T:$T)*0.3)</f>
        <v>106</v>
      </c>
      <c r="H12" s="128">
        <v>5000</v>
      </c>
      <c r="I12" s="34">
        <v>60</v>
      </c>
      <c r="J12" s="35">
        <f>I12+G12*E12</f>
        <v>166</v>
      </c>
      <c r="K12" s="36">
        <v>0.82</v>
      </c>
      <c r="L12" s="35">
        <f>J12/K12</f>
        <v>202.4390243902439</v>
      </c>
      <c r="M12" s="37">
        <f>D12*E12</f>
        <v>8699.297180263906</v>
      </c>
      <c r="N12" s="129">
        <f>H12+F12*E12</f>
        <v>6299</v>
      </c>
      <c r="O12" s="44">
        <f>M12*360</f>
        <v>3131746.9848950063</v>
      </c>
      <c r="P12" s="130">
        <f>L12*0.001*24*360*X12</f>
        <v>1049.4439024390247</v>
      </c>
      <c r="Q12" s="15">
        <v>2</v>
      </c>
      <c r="R12" s="39">
        <f>D12/F12*360</f>
        <v>2410.8906735142464</v>
      </c>
      <c r="S12" s="39">
        <f>D12/G12</f>
        <v>82.0688413232444</v>
      </c>
      <c r="T12" s="39">
        <f>D12*360/(F12+G12*0.001*24*360*X12)</f>
        <v>1694.2062256262395</v>
      </c>
      <c r="U12" s="131">
        <f>Q12*P12+N12</f>
        <v>8397.88780487805</v>
      </c>
      <c r="V12" s="132">
        <f>O12*Q12/U12</f>
        <v>745.8415872324182</v>
      </c>
      <c r="X12" s="30">
        <f>X11</f>
        <v>0.6</v>
      </c>
    </row>
    <row r="13" spans="1:24" ht="17.25">
      <c r="A13" s="133">
        <v>15</v>
      </c>
      <c r="B13" s="16" t="s">
        <v>617</v>
      </c>
      <c r="C13" s="26">
        <v>1024</v>
      </c>
      <c r="D13" s="31">
        <f>SUMIF(VGAMaster!$B:$B,B13,VGAMaster!$R:$R)</f>
        <v>8895.327720768108</v>
      </c>
      <c r="E13" s="15">
        <v>1</v>
      </c>
      <c r="F13" s="128">
        <v>1499</v>
      </c>
      <c r="G13" s="33">
        <f>IF((SUMIF(VGAMaster!$B:$B,B13,VGAMaster!$U:$U)*0.7+SUMIF(VGAMaster!$B:$B,B13,VGAMaster!$T:$T)*0.3)=0,1/0,SUMIF(VGAMaster!$B:$B,B13,VGAMaster!$U:$U)*0.7+SUMIF(VGAMaster!$B:$B,B13,VGAMaster!$T:$T)*0.3)</f>
        <v>116.5</v>
      </c>
      <c r="H13" s="128">
        <v>5000</v>
      </c>
      <c r="I13" s="34">
        <v>60</v>
      </c>
      <c r="J13" s="35">
        <f>I13+G13*E13</f>
        <v>176.5</v>
      </c>
      <c r="K13" s="36">
        <v>0.82</v>
      </c>
      <c r="L13" s="35">
        <f>J13/K13</f>
        <v>215.2439024390244</v>
      </c>
      <c r="M13" s="37">
        <f>D13*E13</f>
        <v>8895.327720768108</v>
      </c>
      <c r="N13" s="129">
        <f>H13+F13*E13</f>
        <v>6499</v>
      </c>
      <c r="O13" s="44">
        <f>M13*360</f>
        <v>3202317.979476519</v>
      </c>
      <c r="P13" s="130">
        <f>L13*0.001*24*360*X13</f>
        <v>1115.8243902439024</v>
      </c>
      <c r="Q13" s="15">
        <v>2</v>
      </c>
      <c r="R13" s="39">
        <f>D13/F13*360</f>
        <v>2136.302854887604</v>
      </c>
      <c r="S13" s="39">
        <f>D13/G13</f>
        <v>76.3547443842756</v>
      </c>
      <c r="T13" s="39">
        <f>D13*360/(F13+G13*0.001*24*360*X13)</f>
        <v>1522.784326045357</v>
      </c>
      <c r="U13" s="131">
        <f>Q13*P13+N13</f>
        <v>8730.648780487805</v>
      </c>
      <c r="V13" s="132">
        <f>O13*Q13/U13</f>
        <v>733.5807590000423</v>
      </c>
      <c r="X13" s="30">
        <f aca="true" t="shared" si="12" ref="X13:X24">X12</f>
        <v>0.6</v>
      </c>
    </row>
    <row r="14" spans="1:24" ht="17.25">
      <c r="A14" s="133">
        <v>15</v>
      </c>
      <c r="B14" s="16" t="s">
        <v>605</v>
      </c>
      <c r="C14" s="26">
        <v>1024</v>
      </c>
      <c r="D14" s="31">
        <f>SUMIF(VGAMaster!$B:$B,B14,VGAMaster!$R:$R)</f>
        <v>8385.171031085649</v>
      </c>
      <c r="E14" s="15">
        <v>1</v>
      </c>
      <c r="F14" s="128">
        <v>1899</v>
      </c>
      <c r="G14" s="33">
        <f>IF((SUMIF(VGAMaster!$B:$B,B14,VGAMaster!$U:$U)*0.7+SUMIF(VGAMaster!$B:$B,B14,VGAMaster!$T:$T)*0.3)=0,1/0,SUMIF(VGAMaster!$B:$B,B14,VGAMaster!$U:$U)*0.7+SUMIF(VGAMaster!$B:$B,B14,VGAMaster!$T:$T)*0.3)</f>
        <v>167.5</v>
      </c>
      <c r="H14" s="128">
        <v>5000</v>
      </c>
      <c r="I14" s="34">
        <v>60</v>
      </c>
      <c r="J14" s="35">
        <f>I14+G14*E14</f>
        <v>227.5</v>
      </c>
      <c r="K14" s="36">
        <v>0.82</v>
      </c>
      <c r="L14" s="35">
        <f>J14/K14</f>
        <v>277.4390243902439</v>
      </c>
      <c r="M14" s="37">
        <f>D14*E14</f>
        <v>8385.171031085649</v>
      </c>
      <c r="N14" s="129">
        <f>H14+F14*E14</f>
        <v>6899</v>
      </c>
      <c r="O14" s="44">
        <f>M14*360</f>
        <v>3018661.5711908336</v>
      </c>
      <c r="P14" s="130">
        <f>L14*0.001*24*360*X14</f>
        <v>1438.2439024390246</v>
      </c>
      <c r="Q14" s="15">
        <v>2</v>
      </c>
      <c r="R14" s="39">
        <f>D14/F14*360</f>
        <v>1589.6058826702651</v>
      </c>
      <c r="S14" s="39">
        <f>D14/G14</f>
        <v>50.06072257364566</v>
      </c>
      <c r="T14" s="39">
        <f>D14*360/(F14+G14*0.001*24*360*X14)</f>
        <v>1090.824903224359</v>
      </c>
      <c r="U14" s="131">
        <f>Q14*P14+N14</f>
        <v>9775.487804878048</v>
      </c>
      <c r="V14" s="132">
        <f>O14*Q14/U14</f>
        <v>617.5981457793844</v>
      </c>
      <c r="X14" s="30">
        <f t="shared" si="12"/>
        <v>0.6</v>
      </c>
    </row>
    <row r="15" spans="1:24" ht="17.25">
      <c r="A15" s="133">
        <v>16</v>
      </c>
      <c r="B15" s="16" t="s">
        <v>606</v>
      </c>
      <c r="C15" s="26">
        <v>1024</v>
      </c>
      <c r="D15" s="31">
        <f>SUMIF(VGAMaster!$B:$B,B15,VGAMaster!$R:$R)</f>
        <v>10958.640201777762</v>
      </c>
      <c r="E15" s="15">
        <v>1</v>
      </c>
      <c r="F15" s="128">
        <v>2888</v>
      </c>
      <c r="G15" s="33">
        <f>IF((SUMIF(VGAMaster!$B:$B,B15,VGAMaster!$U:$U)*0.7+SUMIF(VGAMaster!$B:$B,B15,VGAMaster!$T:$T)*0.3)=0,1/0,SUMIF(VGAMaster!$B:$B,B15,VGAMaster!$U:$U)*0.7+SUMIF(VGAMaster!$B:$B,B15,VGAMaster!$T:$T)*0.3)</f>
        <v>178</v>
      </c>
      <c r="H15" s="128">
        <v>5000</v>
      </c>
      <c r="I15" s="34">
        <v>60</v>
      </c>
      <c r="J15" s="35">
        <f>I15+G15*E15</f>
        <v>238</v>
      </c>
      <c r="K15" s="36">
        <v>0.82</v>
      </c>
      <c r="L15" s="35">
        <f>J15/K15</f>
        <v>290.2439024390244</v>
      </c>
      <c r="M15" s="37">
        <f>D15*E15</f>
        <v>10958.640201777762</v>
      </c>
      <c r="N15" s="129">
        <f>H15+F15*E15</f>
        <v>7888</v>
      </c>
      <c r="O15" s="44">
        <f>M15*360</f>
        <v>3945110.472639994</v>
      </c>
      <c r="P15" s="130">
        <f>L15*0.001*24*360*X15</f>
        <v>1504.6243902439026</v>
      </c>
      <c r="Q15" s="15">
        <v>2</v>
      </c>
      <c r="R15" s="39">
        <f>D15/F15*360</f>
        <v>1366.0354822160643</v>
      </c>
      <c r="S15" s="39">
        <f>D15/G15</f>
        <v>61.5653943920099</v>
      </c>
      <c r="T15" s="39">
        <f>D15*360/(F15+G15*0.001*24*360*X15)</f>
        <v>1035.2577319752097</v>
      </c>
      <c r="U15" s="131">
        <f>Q15*P15+N15</f>
        <v>10897.248780487806</v>
      </c>
      <c r="V15" s="132">
        <f>O15*Q15/U15</f>
        <v>724.0562369657848</v>
      </c>
      <c r="X15" s="30">
        <f t="shared" si="12"/>
        <v>0.6</v>
      </c>
    </row>
    <row r="16" spans="1:24" ht="17.25">
      <c r="A16" s="133">
        <v>17</v>
      </c>
      <c r="B16" s="16" t="s">
        <v>607</v>
      </c>
      <c r="C16" s="26">
        <v>1024</v>
      </c>
      <c r="D16" s="31">
        <f>SUMIF(VGAMaster!$B:$B,B16,VGAMaster!$R:$R)</f>
        <v>13960.784115257626</v>
      </c>
      <c r="E16" s="15">
        <v>1</v>
      </c>
      <c r="F16" s="128">
        <v>3888</v>
      </c>
      <c r="G16" s="33">
        <f>IF((SUMIF(VGAMaster!$B:$B,B16,VGAMaster!$U:$U)*0.7+SUMIF(VGAMaster!$B:$B,B16,VGAMaster!$T:$T)*0.3)=0,1/0,SUMIF(VGAMaster!$B:$B,B16,VGAMaster!$U:$U)*0.7+SUMIF(VGAMaster!$B:$B,B16,VGAMaster!$T:$T)*0.3)</f>
        <v>239</v>
      </c>
      <c r="H16" s="128">
        <v>5000</v>
      </c>
      <c r="I16" s="34">
        <v>60</v>
      </c>
      <c r="J16" s="35">
        <f>I16+G16*E16</f>
        <v>299</v>
      </c>
      <c r="K16" s="36">
        <v>0.82</v>
      </c>
      <c r="L16" s="35">
        <f>J16/K16</f>
        <v>364.63414634146346</v>
      </c>
      <c r="M16" s="37">
        <f>D16*E16</f>
        <v>13960.784115257626</v>
      </c>
      <c r="N16" s="129">
        <f>H16+F16*E16</f>
        <v>8888</v>
      </c>
      <c r="O16" s="44">
        <f>M16*360</f>
        <v>5025882.2814927455</v>
      </c>
      <c r="P16" s="130">
        <f>L16*0.001*24*360*X16</f>
        <v>1890.2634146341463</v>
      </c>
      <c r="Q16" s="15">
        <v>2</v>
      </c>
      <c r="R16" s="39">
        <f>D16/F16*360</f>
        <v>1292.6651958571877</v>
      </c>
      <c r="S16" s="39">
        <f>D16/G16</f>
        <v>58.413322657981695</v>
      </c>
      <c r="T16" s="39">
        <f>D16*360/(F16+G16*0.001*24*360*X16)</f>
        <v>980.2819988805771</v>
      </c>
      <c r="U16" s="131">
        <f>Q16*P16+N16</f>
        <v>12668.526829268292</v>
      </c>
      <c r="V16" s="132">
        <f>O16*Q16/U16</f>
        <v>793.443839086542</v>
      </c>
      <c r="X16" s="30">
        <f t="shared" si="12"/>
        <v>0.6</v>
      </c>
    </row>
    <row r="17" spans="1:24" ht="17.25">
      <c r="A17" s="134">
        <v>23</v>
      </c>
      <c r="B17" s="16" t="s">
        <v>551</v>
      </c>
      <c r="C17" s="26">
        <v>1024</v>
      </c>
      <c r="D17" s="31">
        <f>SUMIF(VGAMaster!$B:$B,B17,VGAMaster!$Q:$Q)</f>
        <v>462.7064403230642</v>
      </c>
      <c r="E17" s="15">
        <v>1</v>
      </c>
      <c r="F17" s="128">
        <v>399</v>
      </c>
      <c r="G17" s="33">
        <f>IF((SUMIF(VGAMaster!$B:$B,B17,VGAMaster!$U:$U)*0.75+SUMIF(VGAMaster!$B:$B,B17,VGAMaster!$T:$T)*0.25)=0,1/0,SUMIF(VGAMaster!$B:$B,B17,VGAMaster!$U:$U)*0.75+SUMIF(VGAMaster!$B:$B,B17,VGAMaster!$T:$T)*0.25)</f>
        <v>22.75</v>
      </c>
      <c r="H17" s="128">
        <v>2000</v>
      </c>
      <c r="I17" s="34">
        <v>60</v>
      </c>
      <c r="J17" s="35">
        <f t="shared" si="0"/>
        <v>82.75</v>
      </c>
      <c r="K17" s="36">
        <v>0.82</v>
      </c>
      <c r="L17" s="35">
        <f t="shared" si="1"/>
        <v>100.91463414634147</v>
      </c>
      <c r="M17" s="37">
        <f t="shared" si="2"/>
        <v>462.7064403230642</v>
      </c>
      <c r="N17" s="129">
        <f t="shared" si="3"/>
        <v>2399</v>
      </c>
      <c r="O17" s="44">
        <f t="shared" si="4"/>
        <v>166574.31851630312</v>
      </c>
      <c r="P17" s="130">
        <f t="shared" si="5"/>
        <v>523.1414634146341</v>
      </c>
      <c r="Q17" s="15">
        <v>2</v>
      </c>
      <c r="R17" s="39">
        <f t="shared" si="6"/>
        <v>417.47949502832864</v>
      </c>
      <c r="S17" s="39">
        <f t="shared" si="7"/>
        <v>20.33874462958524</v>
      </c>
      <c r="T17" s="39">
        <f t="shared" si="8"/>
        <v>322.2339293767567</v>
      </c>
      <c r="U17" s="131">
        <f t="shared" si="9"/>
        <v>3445.282926829268</v>
      </c>
      <c r="V17" s="132">
        <f t="shared" si="10"/>
        <v>96.69703304721236</v>
      </c>
      <c r="X17" s="30">
        <f>X16</f>
        <v>0.6</v>
      </c>
    </row>
    <row r="18" spans="1:24" ht="17.25">
      <c r="A18" s="134">
        <v>24</v>
      </c>
      <c r="B18" s="16" t="s">
        <v>552</v>
      </c>
      <c r="C18" s="26">
        <v>1024</v>
      </c>
      <c r="D18" s="31">
        <f>SUMIF(VGAMaster!$B:$B,B18,VGAMaster!$Q:$Q)</f>
        <v>1204.7572697229357</v>
      </c>
      <c r="E18" s="15">
        <v>1</v>
      </c>
      <c r="F18" s="128">
        <v>599</v>
      </c>
      <c r="G18" s="33">
        <f>IF((SUMIF(VGAMaster!$B:$B,B18,VGAMaster!$U:$U)*0.75+SUMIF(VGAMaster!$B:$B,B18,VGAMaster!$T:$T)*0.25)=0,1/0,SUMIF(VGAMaster!$B:$B,B18,VGAMaster!$U:$U)*0.75+SUMIF(VGAMaster!$B:$B,B18,VGAMaster!$T:$T)*0.25)</f>
        <v>36</v>
      </c>
      <c r="H18" s="128">
        <v>2000</v>
      </c>
      <c r="I18" s="34">
        <v>60</v>
      </c>
      <c r="J18" s="35">
        <f t="shared" si="0"/>
        <v>96</v>
      </c>
      <c r="K18" s="36">
        <v>0.82</v>
      </c>
      <c r="L18" s="35">
        <f t="shared" si="1"/>
        <v>117.07317073170732</v>
      </c>
      <c r="M18" s="37">
        <f t="shared" si="2"/>
        <v>1204.7572697229357</v>
      </c>
      <c r="N18" s="129">
        <f t="shared" si="3"/>
        <v>2599</v>
      </c>
      <c r="O18" s="44">
        <f t="shared" si="4"/>
        <v>433712.61710025684</v>
      </c>
      <c r="P18" s="130">
        <f t="shared" si="5"/>
        <v>606.9073170731708</v>
      </c>
      <c r="Q18" s="15">
        <v>2</v>
      </c>
      <c r="R18" s="39">
        <f t="shared" si="6"/>
        <v>724.0611303844022</v>
      </c>
      <c r="S18" s="39">
        <f t="shared" si="7"/>
        <v>33.46547971452599</v>
      </c>
      <c r="T18" s="39">
        <f t="shared" si="8"/>
        <v>552.0613131730406</v>
      </c>
      <c r="U18" s="131">
        <f t="shared" si="9"/>
        <v>3812.8146341463416</v>
      </c>
      <c r="V18" s="132">
        <f t="shared" si="10"/>
        <v>227.50259780062012</v>
      </c>
      <c r="X18" s="30">
        <f t="shared" si="12"/>
        <v>0.6</v>
      </c>
    </row>
    <row r="19" spans="1:24" ht="17.25">
      <c r="A19" s="134">
        <v>25</v>
      </c>
      <c r="B19" s="16" t="s">
        <v>530</v>
      </c>
      <c r="C19" s="26">
        <v>1024</v>
      </c>
      <c r="D19" s="31">
        <f>SUMIF(VGAMaster!$B:$B,B19,VGAMaster!$Q:$Q)</f>
        <v>1402.2177974930498</v>
      </c>
      <c r="E19" s="15">
        <v>1</v>
      </c>
      <c r="F19" s="128">
        <v>699</v>
      </c>
      <c r="G19" s="33">
        <f>IF((SUMIF(VGAMaster!$B:$B,B19,VGAMaster!$U:$U)*0.75+SUMIF(VGAMaster!$B:$B,B19,VGAMaster!$T:$T)*0.25)=0,1/0,SUMIF(VGAMaster!$B:$B,B19,VGAMaster!$U:$U)*0.75+SUMIF(VGAMaster!$B:$B,B19,VGAMaster!$T:$T)*0.25)</f>
        <v>48</v>
      </c>
      <c r="H19" s="128">
        <v>2000</v>
      </c>
      <c r="I19" s="34">
        <v>60</v>
      </c>
      <c r="J19" s="35">
        <f t="shared" si="0"/>
        <v>108</v>
      </c>
      <c r="K19" s="36">
        <v>0.82</v>
      </c>
      <c r="L19" s="35">
        <f t="shared" si="1"/>
        <v>131.70731707317074</v>
      </c>
      <c r="M19" s="37">
        <f t="shared" si="2"/>
        <v>1402.2177974930498</v>
      </c>
      <c r="N19" s="129">
        <f t="shared" si="3"/>
        <v>2699</v>
      </c>
      <c r="O19" s="44">
        <f t="shared" si="4"/>
        <v>504798.40709749795</v>
      </c>
      <c r="P19" s="130">
        <f t="shared" si="5"/>
        <v>682.770731707317</v>
      </c>
      <c r="Q19" s="15">
        <v>2</v>
      </c>
      <c r="R19" s="39">
        <f t="shared" si="6"/>
        <v>722.1722562195964</v>
      </c>
      <c r="S19" s="39">
        <f t="shared" si="7"/>
        <v>29.212870781105206</v>
      </c>
      <c r="T19" s="39">
        <f t="shared" si="8"/>
        <v>532.5821528472324</v>
      </c>
      <c r="U19" s="131">
        <f t="shared" si="9"/>
        <v>4064.541463414634</v>
      </c>
      <c r="V19" s="132">
        <f t="shared" si="10"/>
        <v>248.391318745911</v>
      </c>
      <c r="X19" s="30">
        <f t="shared" si="12"/>
        <v>0.6</v>
      </c>
    </row>
    <row r="20" spans="1:24" ht="17.25">
      <c r="A20" s="134">
        <v>26</v>
      </c>
      <c r="B20" s="16" t="s">
        <v>426</v>
      </c>
      <c r="C20" s="26">
        <v>1024</v>
      </c>
      <c r="D20" s="31">
        <f>SUMIF(VGAMaster!$B:$B,B20,VGAMaster!$Q:$Q)</f>
        <v>2212.256210239609</v>
      </c>
      <c r="E20" s="15">
        <v>1</v>
      </c>
      <c r="F20" s="128">
        <v>799</v>
      </c>
      <c r="G20" s="33">
        <f>IF((SUMIF(VGAMaster!$B:$B,B20,VGAMaster!$U:$U)*0.75+SUMIF(VGAMaster!$B:$B,B20,VGAMaster!$T:$T)*0.25)=0,1/0,SUMIF(VGAMaster!$B:$B,B20,VGAMaster!$U:$U)*0.75+SUMIF(VGAMaster!$B:$B,B20,VGAMaster!$T:$T)*0.25)</f>
        <v>64</v>
      </c>
      <c r="H20" s="128">
        <v>3000</v>
      </c>
      <c r="I20" s="34">
        <v>60</v>
      </c>
      <c r="J20" s="35">
        <f t="shared" si="0"/>
        <v>124</v>
      </c>
      <c r="K20" s="36">
        <v>0.82</v>
      </c>
      <c r="L20" s="35">
        <f t="shared" si="1"/>
        <v>151.21951219512195</v>
      </c>
      <c r="M20" s="37">
        <f t="shared" si="2"/>
        <v>2212.256210239609</v>
      </c>
      <c r="N20" s="129">
        <f t="shared" si="3"/>
        <v>3799</v>
      </c>
      <c r="O20" s="44">
        <f t="shared" si="4"/>
        <v>796412.2356862592</v>
      </c>
      <c r="P20" s="130">
        <f t="shared" si="5"/>
        <v>783.9219512195122</v>
      </c>
      <c r="Q20" s="15">
        <v>2</v>
      </c>
      <c r="R20" s="39">
        <f t="shared" si="6"/>
        <v>996.7612461655311</v>
      </c>
      <c r="S20" s="39">
        <f t="shared" si="7"/>
        <v>34.56650328499389</v>
      </c>
      <c r="T20" s="39">
        <f t="shared" si="8"/>
        <v>704.3059241496628</v>
      </c>
      <c r="U20" s="131">
        <f t="shared" si="9"/>
        <v>5366.8439024390245</v>
      </c>
      <c r="V20" s="132">
        <f t="shared" si="10"/>
        <v>296.7897893673861</v>
      </c>
      <c r="X20" s="30">
        <f t="shared" si="12"/>
        <v>0.6</v>
      </c>
    </row>
    <row r="21" spans="1:24" ht="17.25">
      <c r="A21" s="134">
        <v>27</v>
      </c>
      <c r="B21" s="16" t="s">
        <v>376</v>
      </c>
      <c r="C21" s="26">
        <v>1024</v>
      </c>
      <c r="D21" s="31">
        <f>SUMIF(VGAMaster!$B:$B,B21,VGAMaster!$Q:$Q)</f>
        <v>2688.6932855379105</v>
      </c>
      <c r="E21" s="15">
        <v>1</v>
      </c>
      <c r="F21" s="128">
        <v>999</v>
      </c>
      <c r="G21" s="33">
        <f>IF((SUMIF(VGAMaster!$B:$B,B21,VGAMaster!$U:$U)*0.75+SUMIF(VGAMaster!$B:$B,B21,VGAMaster!$T:$T)*0.25)=0,1/0,SUMIF(VGAMaster!$B:$B,B21,VGAMaster!$U:$U)*0.75+SUMIF(VGAMaster!$B:$B,B21,VGAMaster!$T:$T)*0.25)</f>
        <v>79.5</v>
      </c>
      <c r="H21" s="128">
        <v>3000</v>
      </c>
      <c r="I21" s="34">
        <v>60</v>
      </c>
      <c r="J21" s="35">
        <f t="shared" si="0"/>
        <v>139.5</v>
      </c>
      <c r="K21" s="36">
        <v>0.82</v>
      </c>
      <c r="L21" s="35">
        <f t="shared" si="1"/>
        <v>170.1219512195122</v>
      </c>
      <c r="M21" s="37">
        <f t="shared" si="2"/>
        <v>2688.6932855379105</v>
      </c>
      <c r="N21" s="129">
        <f t="shared" si="3"/>
        <v>3999</v>
      </c>
      <c r="O21" s="44">
        <f t="shared" si="4"/>
        <v>967929.5827936478</v>
      </c>
      <c r="P21" s="130">
        <f t="shared" si="5"/>
        <v>881.9121951219513</v>
      </c>
      <c r="Q21" s="15">
        <v>2</v>
      </c>
      <c r="R21" s="39">
        <f t="shared" si="6"/>
        <v>968.8984812749227</v>
      </c>
      <c r="S21" s="39">
        <f t="shared" si="7"/>
        <v>33.82004132752088</v>
      </c>
      <c r="T21" s="39">
        <f t="shared" si="8"/>
        <v>685.9261405015334</v>
      </c>
      <c r="U21" s="131">
        <f t="shared" si="9"/>
        <v>5762.824390243903</v>
      </c>
      <c r="V21" s="132">
        <f t="shared" si="10"/>
        <v>335.92194286964263</v>
      </c>
      <c r="X21" s="30">
        <f t="shared" si="12"/>
        <v>0.6</v>
      </c>
    </row>
    <row r="22" spans="1:24" ht="17.25">
      <c r="A22" s="134">
        <v>28</v>
      </c>
      <c r="B22" s="16" t="s">
        <v>562</v>
      </c>
      <c r="C22" s="26">
        <v>1024</v>
      </c>
      <c r="D22" s="31">
        <f>SUMIF(VGAMaster!$B:$B,B22,VGAMaster!$Q:$Q)</f>
        <v>2809.2664365526903</v>
      </c>
      <c r="E22" s="15">
        <v>1</v>
      </c>
      <c r="F22" s="128">
        <v>1799</v>
      </c>
      <c r="G22" s="33">
        <f>IF((SUMIF(VGAMaster!$B:$B,B22,VGAMaster!$U:$U)*0.75+SUMIF(VGAMaster!$B:$B,B22,VGAMaster!$T:$T)*0.25)=0,1/0,SUMIF(VGAMaster!$B:$B,B22,VGAMaster!$U:$U)*0.75+SUMIF(VGAMaster!$B:$B,B22,VGAMaster!$T:$T)*0.25)</f>
        <v>125</v>
      </c>
      <c r="H22" s="128">
        <v>4000</v>
      </c>
      <c r="I22" s="34">
        <v>60</v>
      </c>
      <c r="J22" s="35">
        <f>I22+G22*E22</f>
        <v>185</v>
      </c>
      <c r="K22" s="36">
        <v>0.82</v>
      </c>
      <c r="L22" s="35">
        <f>J22/K22</f>
        <v>225.609756097561</v>
      </c>
      <c r="M22" s="37">
        <f>D22*E22</f>
        <v>2809.2664365526903</v>
      </c>
      <c r="N22" s="129">
        <f>H22+F22*E22</f>
        <v>5799</v>
      </c>
      <c r="O22" s="44">
        <f>M22*360</f>
        <v>1011335.9171589685</v>
      </c>
      <c r="P22" s="130">
        <f>L22*0.001*24*360*X22</f>
        <v>1169.5609756097563</v>
      </c>
      <c r="Q22" s="15">
        <v>2</v>
      </c>
      <c r="R22" s="39">
        <f>D22/F22*360</f>
        <v>562.1656015336123</v>
      </c>
      <c r="S22" s="39">
        <f>D22/G22</f>
        <v>22.474131492421524</v>
      </c>
      <c r="T22" s="39">
        <f>D22*360/(F22+G22*0.001*24*360*X22)</f>
        <v>413.2962473064849</v>
      </c>
      <c r="U22" s="131">
        <f>Q22*P22+N22</f>
        <v>8138.121951219513</v>
      </c>
      <c r="V22" s="132">
        <f>O22*Q22/U22</f>
        <v>248.54282676543522</v>
      </c>
      <c r="X22" s="30">
        <f t="shared" si="12"/>
        <v>0.6</v>
      </c>
    </row>
    <row r="23" spans="1:24" ht="17.25">
      <c r="A23" s="134">
        <v>29</v>
      </c>
      <c r="B23" s="16" t="s">
        <v>425</v>
      </c>
      <c r="C23" s="26">
        <v>1024</v>
      </c>
      <c r="D23" s="31">
        <f>SUMIF(VGAMaster!$B:$B,B23,VGAMaster!$Q:$Q)</f>
        <v>4005.641266994876</v>
      </c>
      <c r="E23" s="15">
        <v>1</v>
      </c>
      <c r="F23" s="128">
        <v>2299</v>
      </c>
      <c r="G23" s="33">
        <f>IF((SUMIF(VGAMaster!$B:$B,B23,VGAMaster!$U:$U)*0.75+SUMIF(VGAMaster!$B:$B,B23,VGAMaster!$T:$T)*0.25)=0,1/0,SUMIF(VGAMaster!$B:$B,B23,VGAMaster!$U:$U)*0.75+SUMIF(VGAMaster!$B:$B,B23,VGAMaster!$T:$T)*0.25)</f>
        <v>117.5</v>
      </c>
      <c r="H23" s="128">
        <v>4000</v>
      </c>
      <c r="I23" s="34">
        <v>60</v>
      </c>
      <c r="J23" s="35">
        <f t="shared" si="0"/>
        <v>177.5</v>
      </c>
      <c r="K23" s="36">
        <v>0.82</v>
      </c>
      <c r="L23" s="35">
        <f t="shared" si="1"/>
        <v>216.46341463414635</v>
      </c>
      <c r="M23" s="37">
        <f t="shared" si="2"/>
        <v>4005.641266994876</v>
      </c>
      <c r="N23" s="129">
        <f t="shared" si="3"/>
        <v>6299</v>
      </c>
      <c r="O23" s="44">
        <f t="shared" si="4"/>
        <v>1442030.8561181554</v>
      </c>
      <c r="P23" s="130">
        <f t="shared" si="5"/>
        <v>1122.1463414634145</v>
      </c>
      <c r="Q23" s="15">
        <v>2</v>
      </c>
      <c r="R23" s="39">
        <f t="shared" si="6"/>
        <v>627.242651639041</v>
      </c>
      <c r="S23" s="39">
        <f t="shared" si="7"/>
        <v>34.09056397442448</v>
      </c>
      <c r="T23" s="39">
        <f t="shared" si="8"/>
        <v>495.86360126753897</v>
      </c>
      <c r="U23" s="131">
        <f t="shared" si="9"/>
        <v>8543.292682926829</v>
      </c>
      <c r="V23" s="132">
        <f t="shared" si="10"/>
        <v>337.5819861585575</v>
      </c>
      <c r="X23" s="30">
        <f t="shared" si="12"/>
        <v>0.6</v>
      </c>
    </row>
    <row r="24" spans="1:24" ht="17.25">
      <c r="A24" s="134">
        <v>30</v>
      </c>
      <c r="B24" s="16" t="s">
        <v>424</v>
      </c>
      <c r="C24" s="26">
        <v>1024</v>
      </c>
      <c r="D24" s="31">
        <f>SUMIF(VGAMaster!$B:$B,B24,VGAMaster!$Q:$Q)</f>
        <v>4733.761993516891</v>
      </c>
      <c r="E24" s="15">
        <v>1</v>
      </c>
      <c r="F24" s="128">
        <v>3299</v>
      </c>
      <c r="G24" s="33">
        <f>IF((SUMIF(VGAMaster!$B:$B,B24,VGAMaster!$U:$U)*0.75+SUMIF(VGAMaster!$B:$B,B24,VGAMaster!$T:$T)*0.25)=0,1/0,SUMIF(VGAMaster!$B:$B,B24,VGAMaster!$U:$U)*0.75+SUMIF(VGAMaster!$B:$B,B24,VGAMaster!$T:$T)*0.25)</f>
        <v>162.5</v>
      </c>
      <c r="H24" s="128">
        <v>4000</v>
      </c>
      <c r="I24" s="34">
        <v>60</v>
      </c>
      <c r="J24" s="35">
        <f t="shared" si="0"/>
        <v>222.5</v>
      </c>
      <c r="K24" s="36">
        <v>0.82</v>
      </c>
      <c r="L24" s="35">
        <f t="shared" si="1"/>
        <v>271.3414634146342</v>
      </c>
      <c r="M24" s="37">
        <f t="shared" si="2"/>
        <v>4733.761993516891</v>
      </c>
      <c r="N24" s="129">
        <f t="shared" si="3"/>
        <v>7299</v>
      </c>
      <c r="O24" s="44">
        <f t="shared" si="4"/>
        <v>1704154.3176660808</v>
      </c>
      <c r="P24" s="130">
        <f t="shared" si="5"/>
        <v>1406.6341463414635</v>
      </c>
      <c r="Q24" s="15">
        <v>2</v>
      </c>
      <c r="R24" s="39">
        <f t="shared" si="6"/>
        <v>516.5669347275177</v>
      </c>
      <c r="S24" s="39">
        <f t="shared" si="7"/>
        <v>29.130843037027024</v>
      </c>
      <c r="T24" s="39">
        <f t="shared" si="8"/>
        <v>411.49232570292196</v>
      </c>
      <c r="U24" s="131">
        <f t="shared" si="9"/>
        <v>10112.268292682927</v>
      </c>
      <c r="V24" s="132">
        <f t="shared" si="10"/>
        <v>337.04689558111886</v>
      </c>
      <c r="X24" s="30">
        <f t="shared" si="12"/>
        <v>0.6</v>
      </c>
    </row>
    <row r="25" spans="1:24" ht="17.25">
      <c r="A25" s="134">
        <v>30</v>
      </c>
      <c r="B25" s="16" t="s">
        <v>587</v>
      </c>
      <c r="C25" s="26">
        <v>1024</v>
      </c>
      <c r="D25" s="31">
        <f>SUMIF(VGAMaster!$B:$B,B25,VGAMaster!$Q:$Q)</f>
        <v>4733.761993516891</v>
      </c>
      <c r="E25" s="15">
        <v>1</v>
      </c>
      <c r="F25" s="128">
        <v>3999</v>
      </c>
      <c r="G25" s="33">
        <f>IF((SUMIF(VGAMaster!$B:$B,B25,VGAMaster!$U:$U)*0.75+SUMIF(VGAMaster!$B:$B,B25,VGAMaster!$T:$T)*0.25)=0,1/0,SUMIF(VGAMaster!$B:$B,B25,VGAMaster!$U:$U)*0.75+SUMIF(VGAMaster!$B:$B,B25,VGAMaster!$T:$T)*0.25)</f>
        <v>171.25</v>
      </c>
      <c r="H25" s="128">
        <v>4000</v>
      </c>
      <c r="I25" s="34">
        <v>60</v>
      </c>
      <c r="J25" s="35">
        <f>I25+G25*E25</f>
        <v>231.25</v>
      </c>
      <c r="K25" s="36">
        <v>0.82</v>
      </c>
      <c r="L25" s="35">
        <f>J25/K25</f>
        <v>282.0121951219512</v>
      </c>
      <c r="M25" s="37">
        <f>D25*E25</f>
        <v>4733.761993516891</v>
      </c>
      <c r="N25" s="129">
        <f>H25+F25*E25</f>
        <v>7999</v>
      </c>
      <c r="O25" s="44">
        <f>M25*360</f>
        <v>1704154.3176660808</v>
      </c>
      <c r="P25" s="130">
        <f>L25*0.001*24*360*X25</f>
        <v>1461.951219512195</v>
      </c>
      <c r="Q25" s="15">
        <v>2</v>
      </c>
      <c r="R25" s="39">
        <f>D25/F25*360</f>
        <v>426.1451156954441</v>
      </c>
      <c r="S25" s="39">
        <f>D25/G25</f>
        <v>27.64240580155849</v>
      </c>
      <c r="T25" s="39">
        <f>D25*360/(F25+G25*0.001*24*360*X25)</f>
        <v>348.7288750963994</v>
      </c>
      <c r="U25" s="131">
        <f>Q25*P25+N25</f>
        <v>10922.90243902439</v>
      </c>
      <c r="V25" s="132">
        <f>O25*Q25/U25</f>
        <v>312.03323973262405</v>
      </c>
      <c r="X25" s="30">
        <f>X24</f>
        <v>0.6</v>
      </c>
    </row>
    <row r="26" spans="1:24" ht="17.25">
      <c r="A26" s="134">
        <v>31</v>
      </c>
      <c r="B26" s="16" t="s">
        <v>523</v>
      </c>
      <c r="C26" s="26">
        <v>1024</v>
      </c>
      <c r="D26" s="31">
        <f>SUMIF(VGAMaster!$B:$B,B26,VGAMaster!$Q:$Q)</f>
        <v>8288.778520363163</v>
      </c>
      <c r="E26" s="15">
        <v>1</v>
      </c>
      <c r="F26" s="128">
        <v>4599</v>
      </c>
      <c r="G26" s="33">
        <f>IF((SUMIF(VGAMaster!$B:$B,B26,VGAMaster!$U:$U)*0.75+SUMIF(VGAMaster!$B:$B,B26,VGAMaster!$T:$T)*0.25)=0,1/0,SUMIF(VGAMaster!$B:$B,B26,VGAMaster!$U:$U)*0.75+SUMIF(VGAMaster!$B:$B,B26,VGAMaster!$T:$T)*0.25)</f>
        <v>232.5</v>
      </c>
      <c r="H26" s="128">
        <v>4000</v>
      </c>
      <c r="I26" s="34">
        <v>60</v>
      </c>
      <c r="J26" s="35">
        <f t="shared" si="0"/>
        <v>292.5</v>
      </c>
      <c r="K26" s="36">
        <v>0.82</v>
      </c>
      <c r="L26" s="35">
        <f t="shared" si="1"/>
        <v>356.70731707317077</v>
      </c>
      <c r="M26" s="37">
        <f t="shared" si="2"/>
        <v>8288.778520363163</v>
      </c>
      <c r="N26" s="129">
        <f t="shared" si="3"/>
        <v>8599</v>
      </c>
      <c r="O26" s="44">
        <f t="shared" si="4"/>
        <v>2983960.2673307387</v>
      </c>
      <c r="P26" s="130">
        <f t="shared" si="5"/>
        <v>1849.1707317073174</v>
      </c>
      <c r="Q26" s="15">
        <v>2</v>
      </c>
      <c r="R26" s="39">
        <f t="shared" si="6"/>
        <v>648.8280642162945</v>
      </c>
      <c r="S26" s="39">
        <f t="shared" si="7"/>
        <v>35.65066030263726</v>
      </c>
      <c r="T26" s="39">
        <f t="shared" si="8"/>
        <v>514.096540368614</v>
      </c>
      <c r="U26" s="131">
        <f t="shared" si="9"/>
        <v>12297.341463414636</v>
      </c>
      <c r="V26" s="132">
        <f t="shared" si="10"/>
        <v>485.30168511758546</v>
      </c>
      <c r="X26" s="30">
        <f>X24</f>
        <v>0.6</v>
      </c>
    </row>
    <row r="27" spans="2:9" ht="17.25">
      <c r="B27" s="135" t="s">
        <v>99</v>
      </c>
      <c r="C27" s="136"/>
      <c r="D27" s="137">
        <v>0.6</v>
      </c>
      <c r="E27" s="138" t="s">
        <v>585</v>
      </c>
      <c r="F27" s="139" t="s">
        <v>107</v>
      </c>
      <c r="G27" s="140"/>
      <c r="H27" s="140"/>
      <c r="I27" s="140"/>
    </row>
  </sheetData>
  <sheetProtection/>
  <autoFilter ref="A1:V27"/>
  <printOptions/>
  <pageMargins left="0.75" right="0.75" top="1"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Extreme Techinist</cp:lastModifiedBy>
  <cp:lastPrinted>2008-10-20T08:02:43Z</cp:lastPrinted>
  <dcterms:created xsi:type="dcterms:W3CDTF">2008-04-14T11:01:33Z</dcterms:created>
  <dcterms:modified xsi:type="dcterms:W3CDTF">2010-08-01T11:55:57Z</dcterms:modified>
  <cp:category/>
  <cp:version/>
  <cp:contentType/>
  <cp:contentStatus/>
</cp:coreProperties>
</file>